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70" windowWidth="9180" windowHeight="4770" activeTab="4"/>
  </bookViews>
  <sheets>
    <sheet name="BS" sheetId="1" r:id="rId1"/>
    <sheet name="S.Equity" sheetId="2" r:id="rId2"/>
    <sheet name="CI" sheetId="3" r:id="rId3"/>
    <sheet name="P&amp;L" sheetId="4" r:id="rId4"/>
    <sheet name="CFS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'BS'!$A$1:$J$88</definedName>
    <definedName name="_xlnm.Print_Area" localSheetId="4">'CFS'!$A$1:$L$86</definedName>
    <definedName name="_xlnm.Print_Area" localSheetId="3">'P&amp;L'!$A$1:$J$115</definedName>
    <definedName name="_xlnm.Print_Area" localSheetId="1">'S.Equity'!$A$1:$M$67</definedName>
    <definedName name="_xlnm.Print_Titles" localSheetId="3">'P&amp;L'!$17:$23</definedName>
  </definedNames>
  <calcPr fullCalcOnLoad="1"/>
</workbook>
</file>

<file path=xl/sharedStrings.xml><?xml version="1.0" encoding="utf-8"?>
<sst xmlns="http://schemas.openxmlformats.org/spreadsheetml/2006/main" count="352" uniqueCount="262">
  <si>
    <t xml:space="preserve">INSAS BERHAD </t>
  </si>
  <si>
    <t xml:space="preserve">    RM'000</t>
  </si>
  <si>
    <t/>
  </si>
  <si>
    <t>INSAS BERHAD</t>
  </si>
  <si>
    <t>Taxation</t>
  </si>
  <si>
    <t>RM'000</t>
  </si>
  <si>
    <t xml:space="preserve">      RM'000</t>
  </si>
  <si>
    <t>Inventories</t>
  </si>
  <si>
    <t>CUMULATIVE QUARTER</t>
  </si>
  <si>
    <t>As at</t>
  </si>
  <si>
    <t xml:space="preserve">As at preceding </t>
  </si>
  <si>
    <t xml:space="preserve">Deposits with licensed banks and </t>
  </si>
  <si>
    <t xml:space="preserve">  financial institutions</t>
  </si>
  <si>
    <t>Cash and bank balances</t>
  </si>
  <si>
    <t>Loans and borrowings</t>
  </si>
  <si>
    <t>ended</t>
  </si>
  <si>
    <t>quarter ended</t>
  </si>
  <si>
    <t>Revenue</t>
  </si>
  <si>
    <t>Company No. 4081-M</t>
  </si>
  <si>
    <t>(Incorporated in Malaysia)</t>
  </si>
  <si>
    <t>9th Floor, Exchange Square</t>
  </si>
  <si>
    <t>Bukit Kewangan</t>
  </si>
  <si>
    <t>50200 Kuala Lumpur</t>
  </si>
  <si>
    <t>- Basic</t>
  </si>
  <si>
    <t>- Diluted</t>
  </si>
  <si>
    <t>Share</t>
  </si>
  <si>
    <t xml:space="preserve">Share </t>
  </si>
  <si>
    <t>Reserve</t>
  </si>
  <si>
    <t>Exchange</t>
  </si>
  <si>
    <t>Treasury</t>
  </si>
  <si>
    <t>Total</t>
  </si>
  <si>
    <t>Cash flows from operating activities</t>
  </si>
  <si>
    <t>Non-cash items</t>
  </si>
  <si>
    <t>Finance costs</t>
  </si>
  <si>
    <t>Interest income</t>
  </si>
  <si>
    <t>Net changes in current assets</t>
  </si>
  <si>
    <t>Net changes in current liabilities</t>
  </si>
  <si>
    <t>Cash flows from investing activities</t>
  </si>
  <si>
    <t>Purchase of property, plant and equipment</t>
  </si>
  <si>
    <t>Proceeds from disposal of property, plant and equipment</t>
  </si>
  <si>
    <t>Cash flows from financing activities</t>
  </si>
  <si>
    <t>Dividend received</t>
  </si>
  <si>
    <t>Exchange differences</t>
  </si>
  <si>
    <t>Cash and cash equivalents comprise of :-</t>
  </si>
  <si>
    <t>Deposits with licensed banks and financial institutions</t>
  </si>
  <si>
    <t>INDIVIDUAL QUARTER</t>
  </si>
  <si>
    <t>Adjustments for :</t>
  </si>
  <si>
    <t>Note 1</t>
  </si>
  <si>
    <t>Note 2</t>
  </si>
  <si>
    <t>financial year ended</t>
  </si>
  <si>
    <t>(Audited)</t>
  </si>
  <si>
    <t>BURSA MALAYSIA SECURITIES BERHAD</t>
  </si>
  <si>
    <t>Tax recoverable</t>
  </si>
  <si>
    <t xml:space="preserve">Quarter ended </t>
  </si>
  <si>
    <t>corresponding</t>
  </si>
  <si>
    <t>ASSETS</t>
  </si>
  <si>
    <t>TOTAL ASSETS</t>
  </si>
  <si>
    <t>EQUITY AND LIABILITIES</t>
  </si>
  <si>
    <t>TOTAL LIABILITIES</t>
  </si>
  <si>
    <t>TOTAL EQUITY AND LIABILITIES</t>
  </si>
  <si>
    <t xml:space="preserve">Total </t>
  </si>
  <si>
    <t>Note 3</t>
  </si>
  <si>
    <t xml:space="preserve">                          Company No. 4081-M</t>
  </si>
  <si>
    <t xml:space="preserve">                           (Incorporated in Malaysia)</t>
  </si>
  <si>
    <t>Cost of sales</t>
  </si>
  <si>
    <t>Administrative expenses</t>
  </si>
  <si>
    <t>Other operating expenses</t>
  </si>
  <si>
    <t>Trade receivables</t>
  </si>
  <si>
    <t>Other receivables, deposits and prepayments</t>
  </si>
  <si>
    <t xml:space="preserve">Trade payables </t>
  </si>
  <si>
    <t>Other payables and accruals</t>
  </si>
  <si>
    <t>capital</t>
  </si>
  <si>
    <t>premium</t>
  </si>
  <si>
    <t>fund</t>
  </si>
  <si>
    <t>translation</t>
  </si>
  <si>
    <t>reserve</t>
  </si>
  <si>
    <t>shares</t>
  </si>
  <si>
    <t>interests</t>
  </si>
  <si>
    <t>equity</t>
  </si>
  <si>
    <t>Exceptional items</t>
  </si>
  <si>
    <t>Property, plant and equipment</t>
  </si>
  <si>
    <t>Investment properties</t>
  </si>
  <si>
    <t>Land held for development</t>
  </si>
  <si>
    <t>Intangible assets</t>
  </si>
  <si>
    <t>Deferred tax assets</t>
  </si>
  <si>
    <t>Share capital</t>
  </si>
  <si>
    <t>Reserves</t>
  </si>
  <si>
    <t>Deferred tax liabilities</t>
  </si>
  <si>
    <t xml:space="preserve"> associate companies</t>
  </si>
  <si>
    <t>Property development costs</t>
  </si>
  <si>
    <t>Other income</t>
  </si>
  <si>
    <t xml:space="preserve">                          INSAS BERHAD </t>
  </si>
  <si>
    <t>Changes in working capital :-</t>
  </si>
  <si>
    <t>Payment for intangible assets</t>
  </si>
  <si>
    <t>Current financial</t>
  </si>
  <si>
    <t xml:space="preserve">Current </t>
  </si>
  <si>
    <t>financial quarter ended</t>
  </si>
  <si>
    <t>Associate companies</t>
  </si>
  <si>
    <t>Tax payable</t>
  </si>
  <si>
    <t>Repayment of loans and borrowings</t>
  </si>
  <si>
    <t>Bank overdrafts</t>
  </si>
  <si>
    <t>Hire purchase payables</t>
  </si>
  <si>
    <t>Repayment of hire purchase payables</t>
  </si>
  <si>
    <t>Note</t>
  </si>
  <si>
    <t>n/a</t>
  </si>
  <si>
    <t xml:space="preserve"> jointly controlled entities</t>
  </si>
  <si>
    <t>Repurchase of shares</t>
  </si>
  <si>
    <t>Net cash used in share buyback</t>
  </si>
  <si>
    <t>Amount due from associate companies</t>
  </si>
  <si>
    <t>Drawdown of loans and borrowings</t>
  </si>
  <si>
    <t>Treasury shares</t>
  </si>
  <si>
    <t>Non-controlling interests</t>
  </si>
  <si>
    <t>Net assets per share attributable to owners</t>
  </si>
  <si>
    <t>Non-</t>
  </si>
  <si>
    <t>controlling</t>
  </si>
  <si>
    <t xml:space="preserve">Retained </t>
  </si>
  <si>
    <t>Other comprehensive income</t>
  </si>
  <si>
    <t xml:space="preserve"> Total comprehensive income for the financial</t>
  </si>
  <si>
    <t xml:space="preserve">  period</t>
  </si>
  <si>
    <t>Available for sale investments</t>
  </si>
  <si>
    <t>Held to maturity investments</t>
  </si>
  <si>
    <t>Financial assets at fair value through profit or loss</t>
  </si>
  <si>
    <t>Available for</t>
  </si>
  <si>
    <t>fair value reserve</t>
  </si>
  <si>
    <t>Total comprehensive income/</t>
  </si>
  <si>
    <t>Tax paid</t>
  </si>
  <si>
    <t>Non-current assets</t>
  </si>
  <si>
    <t>Current assets</t>
  </si>
  <si>
    <t>Non-current assets classified as held for sale</t>
  </si>
  <si>
    <t>Non-current liabilities</t>
  </si>
  <si>
    <t>Current liabilities</t>
  </si>
  <si>
    <t>Proceeds from redemption and disposal of held to maturity investments</t>
  </si>
  <si>
    <t>Tax refund</t>
  </si>
  <si>
    <t>Total non-current assets</t>
  </si>
  <si>
    <t>Transactions with owners:-</t>
  </si>
  <si>
    <t>Total transactions with owners</t>
  </si>
  <si>
    <t>Derivative financial liabilities</t>
  </si>
  <si>
    <t>Retained earnings</t>
  </si>
  <si>
    <t>FY 2012</t>
  </si>
  <si>
    <t>Foreign currency translation</t>
  </si>
  <si>
    <t xml:space="preserve">  available for sale investments</t>
  </si>
  <si>
    <t xml:space="preserve">  companies</t>
  </si>
  <si>
    <t>earnings</t>
  </si>
  <si>
    <t>Included in Other operating expenses are the following items :-</t>
  </si>
  <si>
    <t>Included in Other income are the following items :-</t>
  </si>
  <si>
    <t>Exceptional items represent :-</t>
  </si>
  <si>
    <t>&lt; ---- Distributable -------- &gt;</t>
  </si>
  <si>
    <t>CONDENSED CONSOLIDATED STATEMENTS OF FINANCIAL POSITION</t>
  </si>
  <si>
    <t>Jointly controlled entities</t>
  </si>
  <si>
    <t xml:space="preserve">(The Condensed Consolidated Statements of Changes in Equity should be read in conjunction with the audited financial statements for the financial year </t>
  </si>
  <si>
    <t>CONDENSED CONSOLIDATED STATEMENTS OF COMPREHENSIVE INCOME</t>
  </si>
  <si>
    <t xml:space="preserve">(The Condensed Consolidated Statements of Comprehensive Income should be read in conjunction with the audited financial statements for the </t>
  </si>
  <si>
    <t>CONDENSED CONSOLIDATED INCOME STATEMENTS</t>
  </si>
  <si>
    <t>Allowance for doubtful debts no longer required</t>
  </si>
  <si>
    <t>Gain on dilution of equity interest in associate</t>
  </si>
  <si>
    <t>Note 4</t>
  </si>
  <si>
    <t>Depreciation</t>
  </si>
  <si>
    <t>Note 5</t>
  </si>
  <si>
    <t>Allowance for doubtful debts</t>
  </si>
  <si>
    <t>Loss on disposal of quoted securities</t>
  </si>
  <si>
    <t>30/06/2012</t>
  </si>
  <si>
    <t>Increase in cash and bank balances pledged</t>
  </si>
  <si>
    <t>As at 1 July 2011</t>
  </si>
  <si>
    <t>Equity attributable to owners of the Company</t>
  </si>
  <si>
    <t>of the Company (RM)</t>
  </si>
  <si>
    <t>Owners of the Company</t>
  </si>
  <si>
    <t>Total current assets</t>
  </si>
  <si>
    <t>Total current liabilities</t>
  </si>
  <si>
    <t>Total non-current liabilities</t>
  </si>
  <si>
    <t>&lt; -------------------------------------------- Attributable to Owners of the Company -------------------------------------------- &gt;</t>
  </si>
  <si>
    <t>Proceeds from disposal of non-current assets classified as held for sale</t>
  </si>
  <si>
    <t xml:space="preserve"> Other comprehensive income/(loss)</t>
  </si>
  <si>
    <t>FY 2013</t>
  </si>
  <si>
    <t>Financial period</t>
  </si>
  <si>
    <t>Period ended</t>
  </si>
  <si>
    <t xml:space="preserve">Share of profits less losses of </t>
  </si>
  <si>
    <t xml:space="preserve"> the quarter/period</t>
  </si>
  <si>
    <t xml:space="preserve"> (loss) for the period</t>
  </si>
  <si>
    <t>ended 30 June 2012 and the accompanying explanatory notes attached to the Interim Financial Statements)</t>
  </si>
  <si>
    <t>As at 1 July 2012</t>
  </si>
  <si>
    <t>financial year ended 30 June 2012 and the accompanying explanatory notes attached to the Interim Financial Statements)</t>
  </si>
  <si>
    <t>financial period</t>
  </si>
  <si>
    <t>Net cash generated from investing activities</t>
  </si>
  <si>
    <t>Decrease/(increase) in fixed deposits pledged</t>
  </si>
  <si>
    <t>Cash and cash equivalents at beginning of the financial period</t>
  </si>
  <si>
    <t>Cash and cash equivalents at end of the financial period</t>
  </si>
  <si>
    <t>Net cash (used in)/generated from financing activities</t>
  </si>
  <si>
    <t>(Restated)</t>
  </si>
  <si>
    <t>Included in Cost of sales is the following item :-</t>
  </si>
  <si>
    <t>Included in Administrative expenses is the following item :-</t>
  </si>
  <si>
    <t xml:space="preserve"> - realised</t>
  </si>
  <si>
    <t xml:space="preserve"> - unrealised</t>
  </si>
  <si>
    <t>TOTAL EQUITY</t>
  </si>
  <si>
    <t>EQUITY</t>
  </si>
  <si>
    <t xml:space="preserve">                                                                                          Financial Statements)</t>
  </si>
  <si>
    <t>(excluding Non-controlling interests) divided by the total number of ordinary shares, net of shares bought back.</t>
  </si>
  <si>
    <t>- As previously reported</t>
  </si>
  <si>
    <t>- Effects of changes in accounting</t>
  </si>
  <si>
    <t xml:space="preserve">   policy for intangible assets</t>
  </si>
  <si>
    <t>As restated</t>
  </si>
  <si>
    <t xml:space="preserve">   (The Condensed Consolidated Statements of Cash Flows should be read in conjunction with the audited financial statements</t>
  </si>
  <si>
    <t xml:space="preserve">    for the financial year ended 30 June 2012 and the accompanying explanatory notes attached to the Interim Financial Statements)</t>
  </si>
  <si>
    <t>LIABILITIES</t>
  </si>
  <si>
    <t>30/06/2011</t>
  </si>
  <si>
    <t xml:space="preserve">              (The Condensed Consolidated Statements of Financial Position should be read in conjunction with the audited financial </t>
  </si>
  <si>
    <t xml:space="preserve">               statements for the financial year ended 30 June 2012 and the accompanying explanatory notes attached to the Interim </t>
  </si>
  <si>
    <t>(Restated)*</t>
  </si>
  <si>
    <t>sale investments</t>
  </si>
  <si>
    <t>&lt; ----------------------- Non-Distributable --------------------------- &gt;</t>
  </si>
  <si>
    <t xml:space="preserve">   30 June 2012 and to the comparative figures.</t>
  </si>
  <si>
    <t>Profit before taxation</t>
  </si>
  <si>
    <t>Profit for the quarter/period</t>
  </si>
  <si>
    <t>Profit attributable to :</t>
  </si>
  <si>
    <t>Earnings per share (in sen)</t>
  </si>
  <si>
    <t xml:space="preserve">Total other comprehensive income/(loss) for </t>
  </si>
  <si>
    <t xml:space="preserve">Total comprehensive income for </t>
  </si>
  <si>
    <t>Subscription of shares in an associate company</t>
  </si>
  <si>
    <t>Purchase of available for sale investments</t>
  </si>
  <si>
    <t>Gain on capital repayment by an associate company</t>
  </si>
  <si>
    <t>Deconsolidation of a</t>
  </si>
  <si>
    <t xml:space="preserve"> subsidiary company</t>
  </si>
  <si>
    <t>financial period ended</t>
  </si>
  <si>
    <t>Unrealised gain/(loss) on fair value changes on</t>
  </si>
  <si>
    <t>Operating profit before working capital changes</t>
  </si>
  <si>
    <t xml:space="preserve">Fair value gain on financial assets at fair value  </t>
  </si>
  <si>
    <t xml:space="preserve">  through profit or loss</t>
  </si>
  <si>
    <t>Cash used in operations</t>
  </si>
  <si>
    <t>Net cash used in operating activities</t>
  </si>
  <si>
    <t>Distribution received from jointly controlled entities</t>
  </si>
  <si>
    <t>Preceding year corresponding</t>
  </si>
  <si>
    <t xml:space="preserve">Preceding year corresponding </t>
  </si>
  <si>
    <t>Preceding year</t>
  </si>
  <si>
    <t>UNAUDITED FINANCIAL REPORT  FOR THE THIRD QUARTER AND 9 MONTHS FINANCIAL PERIOD ENDED 31 MARCH 2013.</t>
  </si>
  <si>
    <t>31/3/2013</t>
  </si>
  <si>
    <t>28 May 2013</t>
  </si>
  <si>
    <t>UNAUDITED FINANCIAL REPORT FOR THE THIRD QUARTER AND 9 MONTHS FINANCIAL PERIOD ENDED 31 MARCH 2013.</t>
  </si>
  <si>
    <t>31/3/2012</t>
  </si>
  <si>
    <t>CONDENSED CONSOLIDATED STATEMENTS OF CHANGES IN EQUITY FOR THE THIRD QUARTER AND 9 MONTHS FINANCIAL PERIOD ENDED 31 MARCH 2013.</t>
  </si>
  <si>
    <t>Period ended 31 March 2013</t>
  </si>
  <si>
    <t>Balance at 31 March 2013</t>
  </si>
  <si>
    <t>Period ended 31 March 2012</t>
  </si>
  <si>
    <t>Balance at 31 March 2012</t>
  </si>
  <si>
    <t>Share dividends paid to owners</t>
  </si>
  <si>
    <t>Acquisition of equity interests</t>
  </si>
  <si>
    <t xml:space="preserve"> in subsidiary companies</t>
  </si>
  <si>
    <t>Purchase of held to maturity investments</t>
  </si>
  <si>
    <t>Net cash outflow from acquisition of equity interest in subsidiary companies</t>
  </si>
  <si>
    <t>ENDED 31 MARCH 2013.</t>
  </si>
  <si>
    <t>CONDENSED CONSOLIDATED STATEMENTS OF CASH FLOWS FOR THE THIRD QUARTER AND 9 MONTHS FINANCIAL PERIOD</t>
  </si>
  <si>
    <t>Net decrease in cash and cash equivalents</t>
  </si>
  <si>
    <t xml:space="preserve"> of the Company</t>
  </si>
  <si>
    <t>Cash dividends paid to owners of the Company</t>
  </si>
  <si>
    <t>Cash dividends paid to owners</t>
  </si>
  <si>
    <t>* The unaudited consolidated income statement for the preceding year corresponding financial quarter and financial period ended 31 March 2012 have been restated</t>
  </si>
  <si>
    <t xml:space="preserve">                                 * Net assets per share attributable to owners of the Company is computed based on Total Shareholders' Funds</t>
  </si>
  <si>
    <t>Payment made on investment properties</t>
  </si>
  <si>
    <t xml:space="preserve">                           due to the change in accounting policy and prior year adjustments on intangible asset incorporated in the audited financial statements for the financial year ended </t>
  </si>
  <si>
    <t>Gain/(loss) on exchange differences</t>
  </si>
  <si>
    <t xml:space="preserve">Fair value gain/(loss) on financial assets at fair value </t>
  </si>
  <si>
    <t xml:space="preserve">Writeback of fair value loss/(fair value loss) on </t>
  </si>
  <si>
    <t xml:space="preserve"> Gain/(loss) on exchange differences</t>
  </si>
  <si>
    <t xml:space="preserve">  financial derivatives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</si>
</sst>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  <numFmt numFmtId="169" formatCode="mmmm\ d\,\ yyyy"/>
    <numFmt numFmtId="170" formatCode="0.0000"/>
    <numFmt numFmtId="171" formatCode="0.000"/>
    <numFmt numFmtId="172" formatCode="mm/dd/yy"/>
    <numFmt numFmtId="173" formatCode="0_);[Red]\(0\)"/>
    <numFmt numFmtId="174" formatCode="0.00_);\(0.00\)"/>
    <numFmt numFmtId="175" formatCode="[$-409]h:mm:ss\ AM/PM"/>
  </numFmts>
  <fonts count="10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Arial"/>
      <family val="2"/>
    </font>
    <font>
      <sz val="10"/>
      <color indexed="10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166" fontId="0" fillId="0" borderId="0" xfId="15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>
      <alignment/>
    </xf>
    <xf numFmtId="166" fontId="0" fillId="0" borderId="0" xfId="15" applyNumberFormat="1" applyFont="1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39" fontId="0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9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9" fontId="3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3" xfId="0" applyFont="1" applyBorder="1" applyAlignment="1">
      <alignment/>
    </xf>
    <xf numFmtId="15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 quotePrefix="1">
      <alignment horizontal="left"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0" applyNumberFormat="1" applyAlignment="1">
      <alignment/>
    </xf>
    <xf numFmtId="166" fontId="0" fillId="0" borderId="4" xfId="15" applyNumberFormat="1" applyBorder="1" applyAlignment="1">
      <alignment/>
    </xf>
    <xf numFmtId="166" fontId="0" fillId="0" borderId="5" xfId="15" applyNumberFormat="1" applyBorder="1" applyAlignment="1">
      <alignment/>
    </xf>
    <xf numFmtId="0" fontId="0" fillId="0" borderId="0" xfId="0" applyAlignment="1" quotePrefix="1">
      <alignment horizontal="left"/>
    </xf>
    <xf numFmtId="166" fontId="2" fillId="0" borderId="0" xfId="15" applyNumberFormat="1" applyFont="1" applyAlignment="1" quotePrefix="1">
      <alignment horizontal="left"/>
    </xf>
    <xf numFmtId="0" fontId="2" fillId="0" borderId="3" xfId="0" applyFont="1" applyBorder="1" applyAlignment="1" quotePrefix="1">
      <alignment horizontal="left"/>
    </xf>
    <xf numFmtId="39" fontId="2" fillId="0" borderId="3" xfId="0" applyNumberFormat="1" applyFont="1" applyBorder="1" applyAlignment="1" quotePrefix="1">
      <alignment horizontal="left"/>
    </xf>
    <xf numFmtId="39" fontId="2" fillId="0" borderId="0" xfId="0" applyNumberFormat="1" applyFont="1" applyAlignment="1" quotePrefix="1">
      <alignment horizontal="left"/>
    </xf>
    <xf numFmtId="15" fontId="2" fillId="0" borderId="0" xfId="0" applyNumberFormat="1" applyFont="1" applyBorder="1" applyAlignment="1">
      <alignment horizontal="center"/>
    </xf>
    <xf numFmtId="15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43" fontId="0" fillId="0" borderId="0" xfId="15" applyFont="1" applyBorder="1" applyAlignment="1">
      <alignment/>
    </xf>
    <xf numFmtId="15" fontId="2" fillId="0" borderId="0" xfId="0" applyNumberFormat="1" applyFont="1" applyAlignment="1" quotePrefix="1">
      <alignment horizontal="left"/>
    </xf>
    <xf numFmtId="0" fontId="0" fillId="0" borderId="0" xfId="0" applyAlignment="1">
      <alignment horizontal="center"/>
    </xf>
    <xf numFmtId="38" fontId="0" fillId="0" borderId="4" xfId="0" applyNumberFormat="1" applyFont="1" applyBorder="1" applyAlignment="1">
      <alignment/>
    </xf>
    <xf numFmtId="38" fontId="0" fillId="0" borderId="6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39" fontId="2" fillId="0" borderId="0" xfId="0" applyNumberFormat="1" applyFont="1" applyAlignment="1">
      <alignment horizontal="left"/>
    </xf>
    <xf numFmtId="3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37" fontId="2" fillId="0" borderId="0" xfId="0" applyNumberFormat="1" applyFont="1" applyAlignment="1">
      <alignment/>
    </xf>
    <xf numFmtId="169" fontId="2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8" fontId="0" fillId="0" borderId="0" xfId="0" applyNumberFormat="1" applyFont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166" fontId="2" fillId="0" borderId="0" xfId="15" applyNumberFormat="1" applyFont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Font="1" applyAlignment="1">
      <alignment/>
    </xf>
    <xf numFmtId="0" fontId="6" fillId="0" borderId="0" xfId="0" applyFont="1" applyAlignment="1">
      <alignment/>
    </xf>
    <xf numFmtId="39" fontId="2" fillId="0" borderId="0" xfId="0" applyNumberFormat="1" applyFont="1" applyAlignment="1" quotePrefix="1">
      <alignment/>
    </xf>
    <xf numFmtId="39" fontId="3" fillId="0" borderId="0" xfId="0" applyNumberFormat="1" applyFont="1" applyAlignment="1" quotePrefix="1">
      <alignment/>
    </xf>
    <xf numFmtId="38" fontId="0" fillId="0" borderId="2" xfId="0" applyNumberFormat="1" applyFont="1" applyFill="1" applyBorder="1" applyAlignment="1">
      <alignment/>
    </xf>
    <xf numFmtId="38" fontId="0" fillId="0" borderId="6" xfId="0" applyNumberFormat="1" applyFont="1" applyFill="1" applyBorder="1" applyAlignment="1">
      <alignment/>
    </xf>
    <xf numFmtId="38" fontId="0" fillId="0" borderId="4" xfId="0" applyNumberFormat="1" applyFont="1" applyFill="1" applyBorder="1" applyAlignment="1">
      <alignment/>
    </xf>
    <xf numFmtId="166" fontId="0" fillId="0" borderId="0" xfId="15" applyNumberFormat="1" applyFill="1" applyAlignment="1">
      <alignment/>
    </xf>
    <xf numFmtId="38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 quotePrefix="1">
      <alignment horizontal="center"/>
    </xf>
    <xf numFmtId="38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8" fontId="0" fillId="0" borderId="1" xfId="0" applyNumberFormat="1" applyFont="1" applyFill="1" applyBorder="1" applyAlignment="1">
      <alignment/>
    </xf>
    <xf numFmtId="166" fontId="0" fillId="0" borderId="0" xfId="15" applyNumberFormat="1" applyFont="1" applyFill="1" applyBorder="1" applyAlignment="1">
      <alignment/>
    </xf>
    <xf numFmtId="43" fontId="0" fillId="0" borderId="0" xfId="15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0" fillId="0" borderId="0" xfId="0" applyFill="1" applyAlignment="1" quotePrefix="1">
      <alignment horizontal="left"/>
    </xf>
    <xf numFmtId="166" fontId="0" fillId="0" borderId="5" xfId="15" applyNumberFormat="1" applyFill="1" applyBorder="1" applyAlignment="1">
      <alignment/>
    </xf>
    <xf numFmtId="0" fontId="2" fillId="0" borderId="0" xfId="0" applyFont="1" applyFill="1" applyAlignment="1" quotePrefix="1">
      <alignment horizontal="center"/>
    </xf>
    <xf numFmtId="166" fontId="0" fillId="0" borderId="4" xfId="15" applyNumberFormat="1" applyFill="1" applyBorder="1" applyAlignment="1">
      <alignment/>
    </xf>
    <xf numFmtId="166" fontId="0" fillId="0" borderId="2" xfId="15" applyNumberForma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/>
    </xf>
    <xf numFmtId="166" fontId="0" fillId="0" borderId="0" xfId="0" applyNumberFormat="1" applyFont="1" applyFill="1" applyBorder="1" applyAlignment="1">
      <alignment horizontal="left"/>
    </xf>
    <xf numFmtId="37" fontId="0" fillId="0" borderId="0" xfId="0" applyNumberFormat="1" applyFont="1" applyAlignment="1">
      <alignment/>
    </xf>
    <xf numFmtId="37" fontId="0" fillId="0" borderId="2" xfId="0" applyNumberFormat="1" applyFont="1" applyBorder="1" applyAlignment="1">
      <alignment/>
    </xf>
    <xf numFmtId="38" fontId="0" fillId="0" borderId="7" xfId="0" applyNumberFormat="1" applyFont="1" applyBorder="1" applyAlignment="1">
      <alignment/>
    </xf>
    <xf numFmtId="38" fontId="0" fillId="0" borderId="7" xfId="0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166" fontId="0" fillId="0" borderId="7" xfId="15" applyNumberFormat="1" applyFill="1" applyBorder="1" applyAlignment="1">
      <alignment/>
    </xf>
    <xf numFmtId="166" fontId="0" fillId="0" borderId="7" xfId="15" applyNumberFormat="1" applyBorder="1" applyAlignment="1">
      <alignment/>
    </xf>
    <xf numFmtId="37" fontId="0" fillId="0" borderId="0" xfId="0" applyNumberFormat="1" applyBorder="1" applyAlignment="1">
      <alignment/>
    </xf>
    <xf numFmtId="0" fontId="2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37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38" fontId="0" fillId="0" borderId="0" xfId="0" applyNumberFormat="1" applyFont="1" applyBorder="1" applyAlignment="1">
      <alignment horizontal="right"/>
    </xf>
    <xf numFmtId="3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37" fontId="2" fillId="0" borderId="0" xfId="0" applyNumberFormat="1" applyFont="1" applyBorder="1" applyAlignment="1">
      <alignment/>
    </xf>
    <xf numFmtId="166" fontId="0" fillId="0" borderId="0" xfId="15" applyNumberFormat="1" applyFill="1" applyBorder="1" applyAlignment="1">
      <alignment/>
    </xf>
    <xf numFmtId="39" fontId="3" fillId="0" borderId="0" xfId="0" applyNumberFormat="1" applyFont="1" applyAlignment="1">
      <alignment/>
    </xf>
    <xf numFmtId="166" fontId="0" fillId="0" borderId="0" xfId="15" applyNumberFormat="1" applyFill="1" applyAlignment="1">
      <alignment horizontal="center"/>
    </xf>
    <xf numFmtId="166" fontId="0" fillId="0" borderId="0" xfId="15" applyNumberFormat="1" applyFill="1" applyAlignment="1">
      <alignment horizontal="left"/>
    </xf>
    <xf numFmtId="166" fontId="0" fillId="0" borderId="7" xfId="15" applyNumberFormat="1" applyFill="1" applyBorder="1" applyAlignment="1">
      <alignment horizontal="left"/>
    </xf>
    <xf numFmtId="166" fontId="0" fillId="0" borderId="4" xfId="15" applyNumberFormat="1" applyFill="1" applyBorder="1" applyAlignment="1">
      <alignment horizontal="left"/>
    </xf>
    <xf numFmtId="166" fontId="0" fillId="0" borderId="5" xfId="15" applyNumberFormat="1" applyFill="1" applyBorder="1" applyAlignment="1">
      <alignment horizontal="left"/>
    </xf>
    <xf numFmtId="166" fontId="0" fillId="0" borderId="0" xfId="15" applyNumberFormat="1" applyAlignment="1">
      <alignment horizontal="left"/>
    </xf>
    <xf numFmtId="166" fontId="0" fillId="0" borderId="7" xfId="15" applyNumberFormat="1" applyBorder="1" applyAlignment="1">
      <alignment horizontal="left"/>
    </xf>
    <xf numFmtId="166" fontId="0" fillId="0" borderId="5" xfId="15" applyNumberFormat="1" applyBorder="1" applyAlignment="1">
      <alignment horizontal="left"/>
    </xf>
    <xf numFmtId="37" fontId="0" fillId="0" borderId="4" xfId="0" applyNumberFormat="1" applyBorder="1" applyAlignment="1">
      <alignment/>
    </xf>
    <xf numFmtId="0" fontId="2" fillId="0" borderId="8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5" fontId="2" fillId="0" borderId="8" xfId="0" applyNumberFormat="1" applyFont="1" applyFill="1" applyBorder="1" applyAlignment="1" quotePrefix="1">
      <alignment horizontal="center"/>
    </xf>
    <xf numFmtId="15" fontId="2" fillId="0" borderId="0" xfId="0" applyNumberFormat="1" applyFont="1" applyFill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15" fontId="2" fillId="0" borderId="8" xfId="0" applyNumberFormat="1" applyFont="1" applyFill="1" applyBorder="1" applyAlignment="1">
      <alignment horizontal="center"/>
    </xf>
    <xf numFmtId="0" fontId="0" fillId="0" borderId="8" xfId="0" applyFill="1" applyBorder="1" applyAlignment="1">
      <alignment/>
    </xf>
    <xf numFmtId="166" fontId="0" fillId="0" borderId="0" xfId="15" applyNumberFormat="1" applyFont="1" applyFill="1" applyAlignment="1">
      <alignment horizontal="left"/>
    </xf>
    <xf numFmtId="166" fontId="2" fillId="0" borderId="0" xfId="15" applyNumberFormat="1" applyFont="1" applyFill="1" applyAlignment="1">
      <alignment/>
    </xf>
    <xf numFmtId="166" fontId="0" fillId="0" borderId="8" xfId="15" applyNumberFormat="1" applyFill="1" applyBorder="1" applyAlignment="1">
      <alignment horizontal="right"/>
    </xf>
    <xf numFmtId="166" fontId="0" fillId="0" borderId="8" xfId="15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166" fontId="0" fillId="0" borderId="8" xfId="15" applyNumberFormat="1" applyFill="1" applyBorder="1" applyAlignment="1">
      <alignment/>
    </xf>
    <xf numFmtId="166" fontId="0" fillId="0" borderId="8" xfId="15" applyNumberFormat="1" applyFont="1" applyFill="1" applyBorder="1" applyAlignment="1">
      <alignment/>
    </xf>
    <xf numFmtId="166" fontId="2" fillId="0" borderId="0" xfId="15" applyNumberFormat="1" applyFont="1" applyFill="1" applyAlignment="1" quotePrefix="1">
      <alignment horizontal="left"/>
    </xf>
    <xf numFmtId="166" fontId="2" fillId="0" borderId="0" xfId="15" applyNumberFormat="1" applyFont="1" applyFill="1" applyAlignment="1">
      <alignment horizontal="center"/>
    </xf>
    <xf numFmtId="166" fontId="2" fillId="0" borderId="0" xfId="15" applyNumberFormat="1" applyFont="1" applyFill="1" applyAlignment="1">
      <alignment horizontal="left"/>
    </xf>
    <xf numFmtId="166" fontId="0" fillId="0" borderId="9" xfId="15" applyNumberFormat="1" applyFill="1" applyBorder="1" applyAlignment="1">
      <alignment/>
    </xf>
    <xf numFmtId="166" fontId="2" fillId="0" borderId="0" xfId="15" applyNumberFormat="1" applyFont="1" applyFill="1" applyAlignment="1" quotePrefix="1">
      <alignment horizontal="center"/>
    </xf>
    <xf numFmtId="166" fontId="0" fillId="0" borderId="10" xfId="15" applyNumberFormat="1" applyFill="1" applyBorder="1" applyAlignment="1">
      <alignment/>
    </xf>
    <xf numFmtId="166" fontId="0" fillId="0" borderId="11" xfId="15" applyNumberFormat="1" applyFill="1" applyBorder="1" applyAlignment="1">
      <alignment/>
    </xf>
    <xf numFmtId="166" fontId="0" fillId="0" borderId="12" xfId="15" applyNumberFormat="1" applyFill="1" applyBorder="1" applyAlignment="1">
      <alignment/>
    </xf>
    <xf numFmtId="43" fontId="0" fillId="0" borderId="8" xfId="15" applyNumberFormat="1" applyFill="1" applyBorder="1" applyAlignment="1">
      <alignment/>
    </xf>
    <xf numFmtId="166" fontId="2" fillId="0" borderId="0" xfId="15" applyNumberFormat="1" applyFont="1" applyFill="1" applyAlignment="1" quotePrefix="1">
      <alignment/>
    </xf>
    <xf numFmtId="174" fontId="0" fillId="0" borderId="8" xfId="15" applyNumberFormat="1" applyFill="1" applyBorder="1" applyAlignment="1">
      <alignment/>
    </xf>
    <xf numFmtId="43" fontId="0" fillId="0" borderId="8" xfId="15" applyNumberFormat="1" applyFont="1" applyFill="1" applyBorder="1" applyAlignment="1">
      <alignment/>
    </xf>
    <xf numFmtId="43" fontId="0" fillId="0" borderId="8" xfId="15" applyNumberFormat="1" applyFont="1" applyFill="1" applyBorder="1" applyAlignment="1">
      <alignment horizontal="right"/>
    </xf>
    <xf numFmtId="174" fontId="0" fillId="0" borderId="9" xfId="15" applyNumberFormat="1" applyFill="1" applyBorder="1" applyAlignment="1">
      <alignment/>
    </xf>
    <xf numFmtId="0" fontId="0" fillId="0" borderId="0" xfId="0" applyFill="1" applyAlignment="1">
      <alignment horizontal="center"/>
    </xf>
    <xf numFmtId="166" fontId="0" fillId="0" borderId="0" xfId="15" applyNumberFormat="1" applyFont="1" applyFill="1" applyAlignment="1">
      <alignment horizontal="center"/>
    </xf>
    <xf numFmtId="166" fontId="0" fillId="0" borderId="0" xfId="15" applyNumberFormat="1" applyFont="1" applyFill="1" applyAlignment="1" quotePrefix="1">
      <alignment horizontal="center"/>
    </xf>
    <xf numFmtId="166" fontId="0" fillId="0" borderId="0" xfId="15" applyNumberFormat="1" applyFont="1" applyFill="1" applyAlignment="1">
      <alignment/>
    </xf>
    <xf numFmtId="15" fontId="0" fillId="0" borderId="0" xfId="0" applyNumberFormat="1" applyFont="1" applyFill="1" applyAlignment="1" quotePrefix="1">
      <alignment horizontal="center"/>
    </xf>
    <xf numFmtId="166" fontId="0" fillId="0" borderId="0" xfId="15" applyNumberFormat="1" applyFont="1" applyFill="1" applyAlignment="1">
      <alignment horizontal="center"/>
    </xf>
    <xf numFmtId="166" fontId="0" fillId="0" borderId="6" xfId="15" applyNumberForma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166" fontId="0" fillId="0" borderId="9" xfId="15" applyNumberFormat="1" applyFont="1" applyFill="1" applyBorder="1" applyAlignment="1">
      <alignment/>
    </xf>
    <xf numFmtId="39" fontId="3" fillId="0" borderId="0" xfId="0" applyNumberFormat="1" applyFont="1" applyAlignment="1">
      <alignment horizontal="left"/>
    </xf>
    <xf numFmtId="3" fontId="0" fillId="0" borderId="5" xfId="15" applyNumberFormat="1" applyFill="1" applyBorder="1" applyAlignment="1">
      <alignment/>
    </xf>
    <xf numFmtId="166" fontId="0" fillId="0" borderId="6" xfId="15" applyNumberFormat="1" applyFont="1" applyFill="1" applyBorder="1" applyAlignment="1">
      <alignment horizontal="center"/>
    </xf>
    <xf numFmtId="39" fontId="3" fillId="0" borderId="0" xfId="0" applyNumberFormat="1" applyFont="1" applyFill="1" applyAlignment="1" quotePrefix="1">
      <alignment horizontal="left"/>
    </xf>
    <xf numFmtId="39" fontId="2" fillId="0" borderId="3" xfId="0" applyNumberFormat="1" applyFont="1" applyFill="1" applyBorder="1" applyAlignment="1" quotePrefix="1">
      <alignment horizontal="left"/>
    </xf>
    <xf numFmtId="39" fontId="2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39" fontId="2" fillId="0" borderId="0" xfId="0" applyNumberFormat="1" applyFont="1" applyFill="1" applyAlignment="1">
      <alignment horizontal="center"/>
    </xf>
    <xf numFmtId="39" fontId="0" fillId="0" borderId="0" xfId="0" applyNumberFormat="1" applyFill="1" applyAlignment="1">
      <alignment horizontal="right"/>
    </xf>
    <xf numFmtId="39" fontId="3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9" fontId="2" fillId="0" borderId="0" xfId="0" applyNumberFormat="1" applyFont="1" applyFill="1" applyAlignment="1" quotePrefix="1">
      <alignment horizontal="left"/>
    </xf>
    <xf numFmtId="39" fontId="2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38" fontId="1" fillId="0" borderId="0" xfId="0" applyNumberFormat="1" applyFont="1" applyFill="1" applyAlignment="1">
      <alignment horizontal="centerContinuous"/>
    </xf>
    <xf numFmtId="15" fontId="2" fillId="0" borderId="0" xfId="0" applyNumberFormat="1" applyFont="1" applyFill="1" applyAlignment="1" quotePrefix="1">
      <alignment horizontal="center"/>
    </xf>
    <xf numFmtId="0" fontId="0" fillId="0" borderId="0" xfId="0" applyFill="1" applyAlignment="1" quotePrefix="1">
      <alignment/>
    </xf>
    <xf numFmtId="0" fontId="8" fillId="0" borderId="0" xfId="0" applyFont="1" applyFill="1" applyAlignment="1">
      <alignment horizontal="center"/>
    </xf>
    <xf numFmtId="37" fontId="0" fillId="0" borderId="0" xfId="0" applyNumberFormat="1" applyFill="1" applyAlignment="1">
      <alignment/>
    </xf>
    <xf numFmtId="166" fontId="0" fillId="0" borderId="0" xfId="15" applyNumberFormat="1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15" fontId="2" fillId="0" borderId="13" xfId="0" applyNumberFormat="1" applyFont="1" applyFill="1" applyBorder="1" applyAlignment="1">
      <alignment horizontal="center"/>
    </xf>
    <xf numFmtId="0" fontId="2" fillId="0" borderId="14" xfId="0" applyFont="1" applyBorder="1" applyAlignment="1" quotePrefix="1">
      <alignment horizontal="center"/>
    </xf>
    <xf numFmtId="0" fontId="2" fillId="0" borderId="7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0" fillId="0" borderId="13" xfId="0" applyFill="1" applyBorder="1" applyAlignment="1">
      <alignment/>
    </xf>
    <xf numFmtId="166" fontId="2" fillId="0" borderId="13" xfId="15" applyNumberFormat="1" applyFont="1" applyFill="1" applyBorder="1" applyAlignment="1">
      <alignment/>
    </xf>
    <xf numFmtId="166" fontId="2" fillId="0" borderId="15" xfId="15" applyNumberFormat="1" applyFont="1" applyFill="1" applyBorder="1" applyAlignment="1">
      <alignment/>
    </xf>
    <xf numFmtId="166" fontId="2" fillId="0" borderId="16" xfId="15" applyNumberFormat="1" applyFont="1" applyFill="1" applyBorder="1" applyAlignment="1">
      <alignment/>
    </xf>
    <xf numFmtId="166" fontId="2" fillId="0" borderId="14" xfId="15" applyNumberFormat="1" applyFont="1" applyFill="1" applyBorder="1" applyAlignment="1">
      <alignment/>
    </xf>
    <xf numFmtId="166" fontId="2" fillId="0" borderId="17" xfId="15" applyNumberFormat="1" applyFont="1" applyFill="1" applyBorder="1" applyAlignment="1">
      <alignment/>
    </xf>
    <xf numFmtId="39" fontId="2" fillId="0" borderId="13" xfId="15" applyNumberFormat="1" applyFont="1" applyFill="1" applyBorder="1" applyAlignment="1">
      <alignment/>
    </xf>
    <xf numFmtId="43" fontId="2" fillId="0" borderId="13" xfId="15" applyNumberFormat="1" applyFont="1" applyFill="1" applyBorder="1" applyAlignment="1">
      <alignment/>
    </xf>
    <xf numFmtId="39" fontId="2" fillId="0" borderId="13" xfId="15" applyNumberFormat="1" applyFont="1" applyFill="1" applyBorder="1" applyAlignment="1">
      <alignment horizontal="right"/>
    </xf>
    <xf numFmtId="43" fontId="2" fillId="0" borderId="13" xfId="15" applyNumberFormat="1" applyFont="1" applyFill="1" applyBorder="1" applyAlignment="1">
      <alignment horizontal="right"/>
    </xf>
    <xf numFmtId="166" fontId="2" fillId="0" borderId="6" xfId="15" applyNumberFormat="1" applyFont="1" applyFill="1" applyBorder="1" applyAlignment="1">
      <alignment horizontal="center"/>
    </xf>
    <xf numFmtId="166" fontId="2" fillId="0" borderId="0" xfId="15" applyNumberFormat="1" applyFont="1" applyFill="1" applyBorder="1" applyAlignment="1">
      <alignment/>
    </xf>
    <xf numFmtId="166" fontId="2" fillId="0" borderId="6" xfId="15" applyNumberFormat="1" applyFont="1" applyFill="1" applyBorder="1" applyAlignment="1">
      <alignment/>
    </xf>
    <xf numFmtId="39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39" fontId="3" fillId="0" borderId="0" xfId="0" applyNumberFormat="1" applyFont="1" applyAlignment="1" quotePrefix="1">
      <alignment horizontal="center"/>
    </xf>
    <xf numFmtId="39" fontId="2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166" fontId="2" fillId="0" borderId="0" xfId="15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 quotePrefix="1">
      <alignment horizontal="center"/>
    </xf>
    <xf numFmtId="0" fontId="2" fillId="0" borderId="7" xfId="0" applyFont="1" applyFill="1" applyBorder="1" applyAlignment="1" quotePrefix="1">
      <alignment horizontal="center"/>
    </xf>
    <xf numFmtId="0" fontId="2" fillId="0" borderId="11" xfId="0" applyFont="1" applyFill="1" applyBorder="1" applyAlignment="1" quotePrefix="1">
      <alignment horizontal="center"/>
    </xf>
    <xf numFmtId="166" fontId="0" fillId="0" borderId="0" xfId="15" applyNumberFormat="1" applyFont="1" applyFill="1" applyAlignment="1">
      <alignment horizontal="center"/>
    </xf>
    <xf numFmtId="0" fontId="2" fillId="0" borderId="0" xfId="0" applyFont="1" applyFill="1" applyAlignment="1" quotePrefix="1">
      <alignment/>
    </xf>
    <xf numFmtId="39" fontId="3" fillId="0" borderId="0" xfId="0" applyNumberFormat="1" applyFont="1" applyFill="1" applyAlignment="1">
      <alignment horizontal="center"/>
    </xf>
    <xf numFmtId="39" fontId="2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-lshiefun\dell%20drive\My%20Documents\winnie\con062012(For%20Final%20Account)\Eps06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-lshiefun\dell%20drive\My%20Documents\winnie\con032012(capitalise%20Ceedtec%20goodwill)\Con0312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-lshiefun\dell%20drive\My%20Documents\winnie\con032013_Christina%20Updates\Con03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-lshiefun\dell%20drive\My%20Documents\winnie\con032013_Christina%20Updates\Eps03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-lshiefun\dell%20drive\My%20Documents\winnie\con032013_Christina%20Updates\Fundfl03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Chart1"/>
      <sheetName val="June 2012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38">
          <cell r="C38">
            <v>691368.309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RP&amp;L"/>
      <sheetName val="MRYTD"/>
      <sheetName val="MRDIV"/>
      <sheetName val="MRSumm"/>
      <sheetName val="Analysis of forexc IS"/>
      <sheetName val="forexc IS"/>
      <sheetName val="INTERCO"/>
      <sheetName val="PROREC"/>
      <sheetName val="StatmtEquity"/>
      <sheetName val="IntercoSales"/>
      <sheetName val="M-GER95A.XLS"/>
      <sheetName val="ConLiab"/>
      <sheetName val="Fixed Assets"/>
      <sheetName val="Consol Adjustments"/>
      <sheetName val="CON95PA-1.XLS"/>
      <sheetName val="SUMMA.XLS"/>
      <sheetName val="wassot&amp;p"/>
      <sheetName val="ASSC.XLS"/>
      <sheetName val="Equity acctg for inv in JCE"/>
      <sheetName val="JCE-NL's 2nd PR"/>
      <sheetName val="RPT"/>
      <sheetName val="Conso Notes to accts"/>
      <sheetName val="Project interest recognised"/>
      <sheetName val="MINORITY.XLS"/>
      <sheetName val="Goodwill"/>
      <sheetName val="IP-DirectOE"/>
    </sheetNames>
    <sheetDataSet>
      <sheetData sheetId="10">
        <row r="435">
          <cell r="Q435">
            <v>1418.3594149110002</v>
          </cell>
        </row>
        <row r="462">
          <cell r="Q462">
            <v>658</v>
          </cell>
        </row>
        <row r="621">
          <cell r="Q621">
            <v>476.126368786</v>
          </cell>
        </row>
        <row r="622">
          <cell r="Q622">
            <v>2400</v>
          </cell>
        </row>
        <row r="639">
          <cell r="Q639">
            <v>436.958842236</v>
          </cell>
        </row>
        <row r="658">
          <cell r="R658">
            <v>6678.626145152</v>
          </cell>
        </row>
        <row r="742">
          <cell r="K742">
            <v>113</v>
          </cell>
        </row>
        <row r="2047">
          <cell r="K2047">
            <v>4508.653136380999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RP&amp;L"/>
      <sheetName val="MRYTD"/>
      <sheetName val="MRDIV"/>
      <sheetName val="MRSumm"/>
      <sheetName val="forexc IS"/>
      <sheetName val="INTERCO"/>
      <sheetName val="PROREC"/>
      <sheetName val="IntercoSales"/>
      <sheetName val="M-GER95A.XLS"/>
      <sheetName val="ConLiab"/>
      <sheetName val="Fixed Assets"/>
      <sheetName val="Consol Adjustments"/>
      <sheetName val="CON95PA-1.XLS"/>
      <sheetName val="SUMMA.XLS"/>
      <sheetName val="wassot&amp;p"/>
      <sheetName val="ASSC.XLS"/>
      <sheetName val="Equity acctg for inv in JCE"/>
      <sheetName val="JCE-NL's 2nd PR"/>
      <sheetName val="RPT"/>
      <sheetName val="Conso Notes to accts"/>
      <sheetName val="Project interest recognised"/>
      <sheetName val="MINORITY.XLS"/>
      <sheetName val="Goodwill"/>
    </sheetNames>
    <sheetDataSet>
      <sheetData sheetId="1">
        <row r="26">
          <cell r="U26">
            <v>-27</v>
          </cell>
          <cell r="V26">
            <v>23</v>
          </cell>
          <cell r="W26">
            <v>-0.5596800000000002</v>
          </cell>
        </row>
        <row r="263">
          <cell r="Y263">
            <v>33232.4712</v>
          </cell>
        </row>
      </sheetData>
      <sheetData sheetId="8">
        <row r="10">
          <cell r="X10">
            <v>65301.665113508</v>
          </cell>
        </row>
        <row r="16">
          <cell r="X16">
            <v>73570.2413286589</v>
          </cell>
        </row>
        <row r="23">
          <cell r="X23">
            <v>15511</v>
          </cell>
        </row>
        <row r="24">
          <cell r="X24">
            <v>24338</v>
          </cell>
        </row>
        <row r="25">
          <cell r="X25">
            <v>0</v>
          </cell>
        </row>
        <row r="28">
          <cell r="X28">
            <v>26051.42668</v>
          </cell>
        </row>
        <row r="30">
          <cell r="X30">
            <v>0</v>
          </cell>
        </row>
        <row r="32">
          <cell r="X32">
            <v>133330.6622</v>
          </cell>
        </row>
        <row r="37">
          <cell r="X37">
            <v>4102</v>
          </cell>
        </row>
        <row r="40">
          <cell r="X40">
            <v>212569.60829599402</v>
          </cell>
        </row>
        <row r="42">
          <cell r="X42">
            <v>25972.137483572988</v>
          </cell>
        </row>
        <row r="45">
          <cell r="X45">
            <v>5221.81705</v>
          </cell>
        </row>
        <row r="46">
          <cell r="X46">
            <v>3042.59172</v>
          </cell>
        </row>
        <row r="47">
          <cell r="X47">
            <v>160418.14636</v>
          </cell>
        </row>
        <row r="48">
          <cell r="X48">
            <v>49646</v>
          </cell>
        </row>
        <row r="50">
          <cell r="X50">
            <v>8425.8521</v>
          </cell>
        </row>
        <row r="51">
          <cell r="X51">
            <v>180602.2778</v>
          </cell>
        </row>
        <row r="62">
          <cell r="X62">
            <v>0</v>
          </cell>
        </row>
        <row r="63">
          <cell r="X63">
            <v>16357.728315971424</v>
          </cell>
        </row>
        <row r="64">
          <cell r="X64">
            <v>235973.9628</v>
          </cell>
        </row>
        <row r="65">
          <cell r="X65">
            <v>200185.636</v>
          </cell>
        </row>
        <row r="66">
          <cell r="X66">
            <v>32090.296394524</v>
          </cell>
        </row>
        <row r="71">
          <cell r="X71">
            <v>78743.299857818</v>
          </cell>
        </row>
        <row r="72">
          <cell r="X72">
            <v>0</v>
          </cell>
        </row>
        <row r="73">
          <cell r="X73">
            <v>51704.858465002995</v>
          </cell>
        </row>
        <row r="74">
          <cell r="X74">
            <v>8678.1295</v>
          </cell>
        </row>
        <row r="75">
          <cell r="X75">
            <v>6940.3243</v>
          </cell>
        </row>
        <row r="79">
          <cell r="X79">
            <v>650</v>
          </cell>
        </row>
        <row r="80">
          <cell r="X80">
            <v>148065</v>
          </cell>
        </row>
        <row r="82">
          <cell r="X82">
            <v>117740.42469</v>
          </cell>
        </row>
        <row r="83">
          <cell r="X83">
            <v>0</v>
          </cell>
        </row>
        <row r="84">
          <cell r="X84">
            <v>14516.5506</v>
          </cell>
        </row>
        <row r="90">
          <cell r="X90">
            <v>0.00017999999998603017</v>
          </cell>
        </row>
        <row r="95">
          <cell r="X95">
            <v>693334.4933726199</v>
          </cell>
        </row>
        <row r="98">
          <cell r="X98">
            <v>17867</v>
          </cell>
        </row>
        <row r="99">
          <cell r="X99">
            <v>47750.57</v>
          </cell>
        </row>
        <row r="102">
          <cell r="X102">
            <v>1199</v>
          </cell>
        </row>
        <row r="103">
          <cell r="X103">
            <v>-9731</v>
          </cell>
        </row>
        <row r="104">
          <cell r="X104">
            <v>3522.1453115543477</v>
          </cell>
        </row>
        <row r="119">
          <cell r="X119">
            <v>259921.62376902933</v>
          </cell>
        </row>
        <row r="121">
          <cell r="X121">
            <v>2710.0422769865545</v>
          </cell>
        </row>
        <row r="128">
          <cell r="X128">
            <v>7010.7617</v>
          </cell>
        </row>
        <row r="129">
          <cell r="X129">
            <v>7643.49162</v>
          </cell>
        </row>
        <row r="131">
          <cell r="X131">
            <v>14446.3323</v>
          </cell>
        </row>
        <row r="186">
          <cell r="X186">
            <v>208852.86880518275</v>
          </cell>
        </row>
        <row r="246">
          <cell r="H246">
            <v>144.5325650566183</v>
          </cell>
          <cell r="X246">
            <v>144.5325650566183</v>
          </cell>
        </row>
        <row r="247">
          <cell r="X247">
            <v>22727.760610683872</v>
          </cell>
        </row>
        <row r="249">
          <cell r="X249">
            <v>-4027.3220579887166</v>
          </cell>
        </row>
        <row r="251">
          <cell r="X251">
            <v>-2457.0020999999997</v>
          </cell>
        </row>
        <row r="259">
          <cell r="X259">
            <v>-194.93423129141237</v>
          </cell>
        </row>
        <row r="261">
          <cell r="X261">
            <v>-6557.6021</v>
          </cell>
        </row>
        <row r="435">
          <cell r="K435">
            <v>1450.092854793</v>
          </cell>
        </row>
        <row r="462">
          <cell r="Q462">
            <v>535.8696199999995</v>
          </cell>
        </row>
        <row r="463">
          <cell r="Q463">
            <v>964.873492046</v>
          </cell>
        </row>
        <row r="472">
          <cell r="Q472">
            <v>1747.994197699</v>
          </cell>
        </row>
        <row r="481">
          <cell r="Q481">
            <v>0</v>
          </cell>
        </row>
        <row r="614">
          <cell r="Q614">
            <v>64803.09492248901</v>
          </cell>
        </row>
        <row r="622">
          <cell r="Q622">
            <v>3193.021682179</v>
          </cell>
        </row>
        <row r="623">
          <cell r="Q623">
            <v>0</v>
          </cell>
        </row>
        <row r="640">
          <cell r="Q640">
            <v>4841.1205</v>
          </cell>
        </row>
        <row r="659">
          <cell r="R659">
            <v>5710.459166930001</v>
          </cell>
        </row>
        <row r="668">
          <cell r="Q668">
            <v>2301.0084</v>
          </cell>
        </row>
        <row r="695">
          <cell r="S695">
            <v>1356.5954137580004</v>
          </cell>
        </row>
        <row r="706">
          <cell r="S706">
            <v>165146.56831</v>
          </cell>
        </row>
        <row r="709">
          <cell r="S709">
            <v>11415.762112491</v>
          </cell>
        </row>
        <row r="713">
          <cell r="S713">
            <v>32377.015967285</v>
          </cell>
        </row>
        <row r="719">
          <cell r="S719">
            <v>9952.023211908996</v>
          </cell>
        </row>
        <row r="743">
          <cell r="K743">
            <v>116</v>
          </cell>
        </row>
        <row r="2048">
          <cell r="K2048">
            <v>5422.6613800000005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Chart1"/>
      <sheetName val="June 2013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38">
          <cell r="C38">
            <v>671069.709</v>
          </cell>
        </row>
        <row r="58">
          <cell r="C58">
            <v>10.245875839456943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PE"/>
      <sheetName val="prov tax &amp; def tax"/>
      <sheetName val="loan"/>
      <sheetName val="assoco&amp;Derivative"/>
      <sheetName val="mi&amp;gw"/>
      <sheetName val="summary"/>
      <sheetName val="cashflow"/>
      <sheetName val="LTI &amp; JCE"/>
      <sheetName val="mktsec&amp;ST investment"/>
      <sheetName val="HP"/>
      <sheetName val="L&amp;d"/>
      <sheetName val="dividend"/>
      <sheetName val="overdraft"/>
      <sheetName val="Disposal-FY2011"/>
      <sheetName val="Deem disposal - MHSB"/>
      <sheetName val="InvProp&amp;Intangible"/>
      <sheetName val="cash flow (co)"/>
      <sheetName val="Acq in FY12"/>
      <sheetName val="Disposal in FY12"/>
      <sheetName val="Sheet36"/>
      <sheetName val="Sheet37"/>
      <sheetName val="Sheet38"/>
      <sheetName val="Sheet39"/>
      <sheetName val="Sheet40"/>
    </sheetNames>
    <sheetDataSet>
      <sheetData sheetId="1">
        <row r="10">
          <cell r="H10">
            <v>-15</v>
          </cell>
        </row>
        <row r="26">
          <cell r="H26">
            <v>130.23045</v>
          </cell>
        </row>
      </sheetData>
      <sheetData sheetId="6">
        <row r="47">
          <cell r="H47">
            <v>9952.023211908996</v>
          </cell>
        </row>
        <row r="48">
          <cell r="H48">
            <v>-5710.459166930001</v>
          </cell>
        </row>
        <row r="56">
          <cell r="J56">
            <v>-57544.05883309177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310.6384448740751</v>
          </cell>
        </row>
        <row r="63">
          <cell r="H63">
            <v>0</v>
          </cell>
        </row>
        <row r="64">
          <cell r="H64">
            <v>29286.92006266</v>
          </cell>
        </row>
        <row r="65">
          <cell r="H65">
            <v>0.18295000000128767</v>
          </cell>
        </row>
        <row r="66">
          <cell r="H66">
            <v>88982.69996813784</v>
          </cell>
        </row>
        <row r="67">
          <cell r="H67">
            <v>-161917.30836000002</v>
          </cell>
        </row>
        <row r="68">
          <cell r="H68">
            <v>0</v>
          </cell>
        </row>
        <row r="69">
          <cell r="H69">
            <v>-5928.567781528498</v>
          </cell>
        </row>
        <row r="74">
          <cell r="H74">
            <v>5710.459166930001</v>
          </cell>
        </row>
        <row r="75">
          <cell r="H75">
            <v>-9952.023211908996</v>
          </cell>
        </row>
        <row r="76">
          <cell r="H76">
            <v>-2373.648874944</v>
          </cell>
        </row>
        <row r="83">
          <cell r="H83">
            <v>2949.065579962</v>
          </cell>
        </row>
        <row r="84">
          <cell r="H84">
            <v>-2052.3597394</v>
          </cell>
        </row>
        <row r="85">
          <cell r="H85">
            <v>1763.9836309989957</v>
          </cell>
        </row>
        <row r="89">
          <cell r="H89">
            <v>-310</v>
          </cell>
        </row>
        <row r="90">
          <cell r="H90">
            <v>-3218</v>
          </cell>
        </row>
        <row r="91">
          <cell r="H91">
            <v>13184.939999999999</v>
          </cell>
        </row>
        <row r="92">
          <cell r="H92">
            <v>10015.32505734</v>
          </cell>
        </row>
        <row r="95">
          <cell r="H95">
            <v>635.82515</v>
          </cell>
        </row>
        <row r="96">
          <cell r="H96">
            <v>52249.54053175</v>
          </cell>
        </row>
        <row r="97">
          <cell r="H97">
            <v>-6012.459999999999</v>
          </cell>
        </row>
        <row r="98">
          <cell r="H98">
            <v>3531.0453831040004</v>
          </cell>
        </row>
        <row r="111">
          <cell r="H111">
            <v>11252.897313060996</v>
          </cell>
        </row>
        <row r="112">
          <cell r="H112">
            <v>-3217.26291</v>
          </cell>
        </row>
        <row r="113">
          <cell r="H113">
            <v>-5069.8173909</v>
          </cell>
        </row>
        <row r="114">
          <cell r="H114">
            <v>65640.98374422002</v>
          </cell>
        </row>
        <row r="115">
          <cell r="H115">
            <v>-132413.19462422002</v>
          </cell>
        </row>
        <row r="116">
          <cell r="H116">
            <v>-8850</v>
          </cell>
        </row>
        <row r="117">
          <cell r="H117">
            <v>-6557.6021</v>
          </cell>
        </row>
        <row r="127">
          <cell r="H127">
            <v>-375.70182985550287</v>
          </cell>
        </row>
        <row r="134">
          <cell r="H134">
            <v>24622.512484524003</v>
          </cell>
        </row>
        <row r="135">
          <cell r="H135">
            <v>59189.761113061046</v>
          </cell>
        </row>
        <row r="136">
          <cell r="H136">
            <v>-14516.5506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="80" zoomScaleNormal="80" workbookViewId="0" topLeftCell="A30">
      <selection activeCell="F42" sqref="F42"/>
    </sheetView>
  </sheetViews>
  <sheetFormatPr defaultColWidth="9.140625" defaultRowHeight="12.75"/>
  <cols>
    <col min="1" max="1" width="6.7109375" style="0" customWidth="1"/>
    <col min="2" max="2" width="18.7109375" style="0" customWidth="1"/>
    <col min="6" max="6" width="16.7109375" style="0" customWidth="1"/>
    <col min="7" max="7" width="3.7109375" style="0" customWidth="1"/>
    <col min="8" max="8" width="21.7109375" style="0" customWidth="1"/>
    <col min="9" max="9" width="3.7109375" style="0" customWidth="1"/>
    <col min="10" max="10" width="20.7109375" style="0" customWidth="1"/>
  </cols>
  <sheetData>
    <row r="1" spans="1:11" ht="15.75">
      <c r="A1" s="218" t="s">
        <v>3</v>
      </c>
      <c r="B1" s="218"/>
      <c r="C1" s="218"/>
      <c r="D1" s="218"/>
      <c r="E1" s="218"/>
      <c r="F1" s="218"/>
      <c r="G1" s="218"/>
      <c r="H1" s="218"/>
      <c r="I1" s="218"/>
      <c r="J1" s="218"/>
      <c r="K1" s="125"/>
    </row>
    <row r="2" spans="1:11" ht="12.75">
      <c r="A2" s="218" t="s">
        <v>18</v>
      </c>
      <c r="B2" s="218"/>
      <c r="C2" s="218"/>
      <c r="D2" s="218"/>
      <c r="E2" s="218"/>
      <c r="F2" s="218"/>
      <c r="G2" s="218"/>
      <c r="H2" s="218"/>
      <c r="I2" s="218"/>
      <c r="J2" s="218"/>
      <c r="K2" s="56"/>
    </row>
    <row r="3" spans="1:11" ht="12.75">
      <c r="A3" s="218" t="s">
        <v>19</v>
      </c>
      <c r="B3" s="218"/>
      <c r="C3" s="218"/>
      <c r="D3" s="218"/>
      <c r="E3" s="218"/>
      <c r="F3" s="218"/>
      <c r="G3" s="218"/>
      <c r="H3" s="218"/>
      <c r="I3" s="218"/>
      <c r="J3" s="218"/>
      <c r="K3" s="56"/>
    </row>
    <row r="4" spans="1:10" ht="12.75">
      <c r="A4" s="34"/>
      <c r="B4" s="34"/>
      <c r="C4" s="34"/>
      <c r="D4" s="34"/>
      <c r="E4" s="34"/>
      <c r="F4" s="34"/>
      <c r="G4" s="34"/>
      <c r="H4" s="34"/>
      <c r="I4" s="67"/>
      <c r="J4" s="121"/>
    </row>
    <row r="5" spans="1:11" ht="13.5" thickBot="1">
      <c r="A5" s="48" t="s">
        <v>232</v>
      </c>
      <c r="B5" s="35"/>
      <c r="C5" s="35"/>
      <c r="D5" s="35"/>
      <c r="E5" s="35"/>
      <c r="F5" s="35"/>
      <c r="G5" s="35"/>
      <c r="H5" s="35"/>
      <c r="I5" s="36"/>
      <c r="J5" s="19"/>
      <c r="K5" s="19"/>
    </row>
    <row r="6" spans="1:9" ht="15.75">
      <c r="A6" s="173"/>
      <c r="B6" s="26"/>
      <c r="C6" s="23"/>
      <c r="D6" s="24"/>
      <c r="E6" s="24"/>
      <c r="F6" s="27"/>
      <c r="G6" s="27"/>
      <c r="H6" s="27"/>
      <c r="I6" s="67"/>
    </row>
    <row r="7" spans="1:9" ht="15.75">
      <c r="A7" s="33" t="s">
        <v>147</v>
      </c>
      <c r="B7" s="26"/>
      <c r="C7" s="23"/>
      <c r="D7" s="24"/>
      <c r="E7" s="24"/>
      <c r="F7" s="84"/>
      <c r="G7" s="27"/>
      <c r="H7" s="72"/>
      <c r="I7" s="67"/>
    </row>
    <row r="8" spans="1:10" ht="12.75">
      <c r="A8" s="5"/>
      <c r="B8" s="6"/>
      <c r="C8" s="7"/>
      <c r="D8" s="8"/>
      <c r="E8" s="8"/>
      <c r="G8" s="9"/>
      <c r="H8" s="115"/>
      <c r="J8" s="15"/>
    </row>
    <row r="9" spans="1:10" ht="12.75">
      <c r="A9" s="8"/>
      <c r="B9" s="7"/>
      <c r="C9" s="7"/>
      <c r="D9" s="8"/>
      <c r="E9" s="8"/>
      <c r="F9" s="85"/>
      <c r="G9" s="9"/>
      <c r="H9" s="20" t="s">
        <v>50</v>
      </c>
      <c r="J9" s="20" t="s">
        <v>50</v>
      </c>
    </row>
    <row r="10" spans="1:10" ht="12.75">
      <c r="A10" s="8"/>
      <c r="B10" s="7"/>
      <c r="C10" s="7"/>
      <c r="D10" s="8"/>
      <c r="E10" s="8"/>
      <c r="F10" s="85"/>
      <c r="G10" s="9"/>
      <c r="H10" s="20" t="s">
        <v>10</v>
      </c>
      <c r="J10" s="20" t="s">
        <v>10</v>
      </c>
    </row>
    <row r="11" spans="1:10" ht="12.75">
      <c r="A11" s="8"/>
      <c r="B11" s="7"/>
      <c r="C11" s="7"/>
      <c r="D11" s="8"/>
      <c r="E11" s="8"/>
      <c r="F11" s="85" t="s">
        <v>9</v>
      </c>
      <c r="G11" s="2"/>
      <c r="H11" s="53" t="s">
        <v>49</v>
      </c>
      <c r="J11" s="53" t="s">
        <v>49</v>
      </c>
    </row>
    <row r="12" spans="1:10" ht="12.75">
      <c r="A12" s="8"/>
      <c r="B12" s="7"/>
      <c r="C12" s="7"/>
      <c r="D12" s="8"/>
      <c r="E12" s="8"/>
      <c r="F12" s="86" t="s">
        <v>233</v>
      </c>
      <c r="G12" s="2"/>
      <c r="H12" s="51" t="s">
        <v>160</v>
      </c>
      <c r="J12" s="51" t="s">
        <v>203</v>
      </c>
    </row>
    <row r="13" spans="1:11" ht="12.75">
      <c r="A13" s="8"/>
      <c r="B13" s="7"/>
      <c r="C13" s="7"/>
      <c r="D13" s="8"/>
      <c r="E13" s="8"/>
      <c r="F13" s="86"/>
      <c r="G13" s="2"/>
      <c r="H13" s="50" t="s">
        <v>187</v>
      </c>
      <c r="J13" s="50" t="s">
        <v>187</v>
      </c>
      <c r="K13" s="17"/>
    </row>
    <row r="14" spans="1:10" ht="12.75">
      <c r="A14" s="8"/>
      <c r="B14" s="7"/>
      <c r="C14" s="7"/>
      <c r="D14" s="8"/>
      <c r="E14" s="8"/>
      <c r="F14" s="87" t="s">
        <v>1</v>
      </c>
      <c r="G14" s="29"/>
      <c r="H14" s="29" t="s">
        <v>5</v>
      </c>
      <c r="J14" s="29" t="s">
        <v>5</v>
      </c>
    </row>
    <row r="15" spans="1:6" ht="12.75">
      <c r="A15" s="4" t="s">
        <v>55</v>
      </c>
      <c r="B15" s="7"/>
      <c r="C15" s="7"/>
      <c r="D15" s="8"/>
      <c r="E15" s="8"/>
      <c r="F15" s="88"/>
    </row>
    <row r="16" spans="1:8" ht="12.75">
      <c r="A16" s="4" t="s">
        <v>126</v>
      </c>
      <c r="B16" s="7"/>
      <c r="C16" s="7"/>
      <c r="D16" s="8"/>
      <c r="E16" s="8"/>
      <c r="F16" s="89"/>
      <c r="G16" s="9"/>
      <c r="H16" s="9"/>
    </row>
    <row r="17" spans="1:10" ht="12.75">
      <c r="A17" s="21"/>
      <c r="B17" s="22" t="s">
        <v>80</v>
      </c>
      <c r="C17" s="24"/>
      <c r="D17" s="24"/>
      <c r="E17" s="8"/>
      <c r="F17" s="89">
        <f>'[3]M-GER95A.XLS'!$X$10</f>
        <v>65301.665113508</v>
      </c>
      <c r="G17" s="9"/>
      <c r="H17" s="9">
        <f>61153</f>
        <v>61153</v>
      </c>
      <c r="J17" s="116">
        <f>39551</f>
        <v>39551</v>
      </c>
    </row>
    <row r="18" spans="1:10" ht="12.75">
      <c r="A18" s="21"/>
      <c r="B18" s="22" t="s">
        <v>81</v>
      </c>
      <c r="C18" s="23"/>
      <c r="D18" s="24"/>
      <c r="E18" s="8"/>
      <c r="F18" s="89">
        <f>'[3]M-GER95A.XLS'!$X$32+'[3]M-GER95A.XLS'!$X$30</f>
        <v>133330.6622</v>
      </c>
      <c r="G18" s="9"/>
      <c r="H18" s="9">
        <f>92435+37576</f>
        <v>130011</v>
      </c>
      <c r="J18" s="116">
        <f>102745+37576</f>
        <v>140321</v>
      </c>
    </row>
    <row r="19" spans="1:10" ht="12.75">
      <c r="A19" s="21"/>
      <c r="B19" s="22" t="s">
        <v>82</v>
      </c>
      <c r="C19" s="23"/>
      <c r="D19" s="24"/>
      <c r="E19" s="8"/>
      <c r="F19" s="124">
        <v>0</v>
      </c>
      <c r="G19" s="9"/>
      <c r="H19" s="124">
        <v>0</v>
      </c>
      <c r="J19" s="124">
        <v>0</v>
      </c>
    </row>
    <row r="20" spans="1:10" ht="12.75">
      <c r="A20" s="21"/>
      <c r="B20" s="22" t="s">
        <v>119</v>
      </c>
      <c r="C20" s="23"/>
      <c r="D20" s="24"/>
      <c r="E20" s="8"/>
      <c r="F20" s="89">
        <f>'[3]M-GER95A.XLS'!$X$23+'[3]M-GER95A.XLS'!$X$48</f>
        <v>65157</v>
      </c>
      <c r="G20" s="9"/>
      <c r="H20" s="9">
        <f>74555</f>
        <v>74555</v>
      </c>
      <c r="J20" s="116">
        <f>50419</f>
        <v>50419</v>
      </c>
    </row>
    <row r="21" spans="1:10" ht="12.75">
      <c r="A21" s="21"/>
      <c r="B21" s="22" t="s">
        <v>120</v>
      </c>
      <c r="C21" s="23"/>
      <c r="D21" s="24"/>
      <c r="E21" s="8"/>
      <c r="F21" s="89">
        <f>'[3]M-GER95A.XLS'!$X$24</f>
        <v>24338</v>
      </c>
      <c r="G21" s="9"/>
      <c r="H21" s="9">
        <f>24195</f>
        <v>24195</v>
      </c>
      <c r="J21" s="116">
        <f>41585</f>
        <v>41585</v>
      </c>
    </row>
    <row r="22" spans="1:10" ht="12.75">
      <c r="A22" s="21"/>
      <c r="B22" s="21" t="s">
        <v>97</v>
      </c>
      <c r="C22" s="24"/>
      <c r="D22" s="24"/>
      <c r="E22" s="8"/>
      <c r="F22" s="89">
        <f>'[3]M-GER95A.XLS'!$X$16</f>
        <v>73570.2413286589</v>
      </c>
      <c r="G22" s="9"/>
      <c r="H22" s="9">
        <f>50383</f>
        <v>50383</v>
      </c>
      <c r="J22" s="116">
        <f>41728</f>
        <v>41728</v>
      </c>
    </row>
    <row r="23" spans="1:10" ht="12.75">
      <c r="A23" s="21"/>
      <c r="B23" s="22" t="s">
        <v>148</v>
      </c>
      <c r="C23" s="24"/>
      <c r="D23" s="24"/>
      <c r="E23" s="8"/>
      <c r="F23" s="124">
        <v>0</v>
      </c>
      <c r="G23" s="9"/>
      <c r="H23" s="76">
        <f>52610</f>
        <v>52610</v>
      </c>
      <c r="J23" s="116">
        <f>40498</f>
        <v>40498</v>
      </c>
    </row>
    <row r="24" spans="1:10" ht="12.75">
      <c r="A24" s="21"/>
      <c r="B24" s="22" t="s">
        <v>83</v>
      </c>
      <c r="C24" s="23"/>
      <c r="D24" s="24"/>
      <c r="E24" s="8"/>
      <c r="F24" s="89">
        <f>'[3]M-GER95A.XLS'!$X$28+'[3]M-GER95A.XLS'!$X$90+'[3]M-GER95A.XLS'!$X$35</f>
        <v>26051.42686</v>
      </c>
      <c r="G24" s="9"/>
      <c r="H24" s="9">
        <f>26052</f>
        <v>26052</v>
      </c>
      <c r="J24" s="116">
        <f>26126</f>
        <v>26126</v>
      </c>
    </row>
    <row r="25" spans="1:10" ht="12.75">
      <c r="A25" s="21"/>
      <c r="B25" s="22" t="s">
        <v>84</v>
      </c>
      <c r="C25" s="23"/>
      <c r="D25" s="24"/>
      <c r="E25" s="8"/>
      <c r="F25" s="89">
        <f>'[3]M-GER95A.XLS'!$X$37+85</f>
        <v>4187</v>
      </c>
      <c r="G25" s="9"/>
      <c r="H25" s="9">
        <f>4187</f>
        <v>4187</v>
      </c>
      <c r="J25" s="116">
        <f>3674</f>
        <v>3674</v>
      </c>
    </row>
    <row r="26" spans="1:10" ht="12.75">
      <c r="A26" s="60" t="s">
        <v>133</v>
      </c>
      <c r="B26" s="24"/>
      <c r="C26" s="23"/>
      <c r="D26" s="24"/>
      <c r="E26" s="8"/>
      <c r="F26" s="80">
        <f>SUM(F17:F25)</f>
        <v>391935.9955021669</v>
      </c>
      <c r="G26" s="9"/>
      <c r="H26" s="12">
        <f>SUM(H17:H25)</f>
        <v>423146</v>
      </c>
      <c r="J26" s="12">
        <f>SUM(J17:J25)</f>
        <v>383902</v>
      </c>
    </row>
    <row r="27" spans="1:10" ht="12.75">
      <c r="A27" s="21"/>
      <c r="B27" s="24"/>
      <c r="C27" s="23"/>
      <c r="D27" s="24"/>
      <c r="E27" s="8"/>
      <c r="F27" s="89"/>
      <c r="G27" s="9"/>
      <c r="H27" s="9"/>
      <c r="J27" s="116"/>
    </row>
    <row r="28" spans="1:10" ht="12.75">
      <c r="A28" s="37" t="s">
        <v>127</v>
      </c>
      <c r="B28" s="38"/>
      <c r="C28" s="37"/>
      <c r="D28" s="8"/>
      <c r="E28" s="8"/>
      <c r="F28" s="89"/>
      <c r="G28" s="9"/>
      <c r="H28" s="9"/>
      <c r="J28" s="116"/>
    </row>
    <row r="29" spans="1:10" ht="12.75">
      <c r="A29" s="37"/>
      <c r="B29" s="24" t="s">
        <v>89</v>
      </c>
      <c r="C29" s="37"/>
      <c r="D29" s="8"/>
      <c r="E29" s="8"/>
      <c r="F29" s="89">
        <f>'[3]M-GER95A.XLS'!$X$45</f>
        <v>5221.81705</v>
      </c>
      <c r="G29" s="9"/>
      <c r="H29" s="9">
        <f>5222</f>
        <v>5222</v>
      </c>
      <c r="J29" s="116">
        <f>5073</f>
        <v>5073</v>
      </c>
    </row>
    <row r="30" spans="1:10" ht="12.75">
      <c r="A30" s="37"/>
      <c r="B30" s="21" t="s">
        <v>7</v>
      </c>
      <c r="C30" s="21"/>
      <c r="D30" s="8"/>
      <c r="E30" s="8"/>
      <c r="F30" s="64">
        <f>'[3]M-GER95A.XLS'!$X$63</f>
        <v>16357.728315971424</v>
      </c>
      <c r="G30" s="10"/>
      <c r="H30" s="10">
        <f>16707</f>
        <v>16707</v>
      </c>
      <c r="J30" s="116">
        <f>18849</f>
        <v>18849</v>
      </c>
    </row>
    <row r="31" spans="1:10" ht="12.75">
      <c r="A31" s="37"/>
      <c r="B31" s="21" t="s">
        <v>67</v>
      </c>
      <c r="C31" s="22"/>
      <c r="D31" s="8"/>
      <c r="E31" s="8"/>
      <c r="F31" s="64">
        <f>'[3]M-GER95A.XLS'!$X$40</f>
        <v>212569.60829599402</v>
      </c>
      <c r="G31" s="10"/>
      <c r="H31" s="10">
        <f>306428</f>
        <v>306428</v>
      </c>
      <c r="J31" s="116">
        <f>179056</f>
        <v>179056</v>
      </c>
    </row>
    <row r="32" spans="1:10" ht="12.75">
      <c r="A32" s="37"/>
      <c r="B32" s="22" t="s">
        <v>108</v>
      </c>
      <c r="C32" s="22"/>
      <c r="D32" s="8"/>
      <c r="E32" s="8"/>
      <c r="F32" s="103">
        <f>'[3]M-GER95A.XLS'!$X$47-'[3]M-GER95A.XLS'!$X$80</f>
        <v>12353.146360000013</v>
      </c>
      <c r="G32" s="10"/>
      <c r="H32" s="18">
        <f>7772</f>
        <v>7772</v>
      </c>
      <c r="J32" s="116">
        <f>17484</f>
        <v>17484</v>
      </c>
    </row>
    <row r="33" spans="1:10" ht="12.75">
      <c r="A33" s="37"/>
      <c r="B33" s="22" t="s">
        <v>68</v>
      </c>
      <c r="C33" s="22"/>
      <c r="D33" s="8"/>
      <c r="E33" s="8"/>
      <c r="F33" s="64">
        <f>'[3]M-GER95A.XLS'!$X$42-1</f>
        <v>25971.137483572988</v>
      </c>
      <c r="G33" s="10"/>
      <c r="H33" s="10">
        <f>20717</f>
        <v>20717</v>
      </c>
      <c r="J33" s="116">
        <f>32436</f>
        <v>32436</v>
      </c>
    </row>
    <row r="34" spans="1:10" ht="12.75">
      <c r="A34" s="37"/>
      <c r="B34" s="22" t="s">
        <v>52</v>
      </c>
      <c r="C34" s="22"/>
      <c r="D34" s="8"/>
      <c r="E34" s="8"/>
      <c r="F34" s="64">
        <f>'[3]M-GER95A.XLS'!$X$46</f>
        <v>3042.59172</v>
      </c>
      <c r="G34" s="10"/>
      <c r="H34" s="10">
        <f>2736</f>
        <v>2736</v>
      </c>
      <c r="J34" s="116">
        <f>2478</f>
        <v>2478</v>
      </c>
    </row>
    <row r="35" spans="1:10" ht="12.75">
      <c r="A35" s="37"/>
      <c r="B35" s="22" t="s">
        <v>120</v>
      </c>
      <c r="C35" s="22"/>
      <c r="D35" s="8"/>
      <c r="E35" s="8"/>
      <c r="F35" s="64">
        <f>'[3]M-GER95A.XLS'!$X$50</f>
        <v>8425.8521</v>
      </c>
      <c r="G35" s="10"/>
      <c r="H35" s="10">
        <f>15802</f>
        <v>15802</v>
      </c>
      <c r="J35" s="116">
        <f>13709</f>
        <v>13709</v>
      </c>
    </row>
    <row r="36" spans="1:10" ht="12.75">
      <c r="A36" s="37"/>
      <c r="B36" s="22" t="s">
        <v>121</v>
      </c>
      <c r="C36" s="22"/>
      <c r="D36" s="8"/>
      <c r="E36" s="8"/>
      <c r="F36" s="64">
        <f>'[3]M-GER95A.XLS'!$X$51+'[3]M-GER95A.XLS'!$X$25</f>
        <v>180602.2778</v>
      </c>
      <c r="G36" s="10"/>
      <c r="H36" s="10">
        <f>181624</f>
        <v>181624</v>
      </c>
      <c r="J36" s="116">
        <f>98379</f>
        <v>98379</v>
      </c>
    </row>
    <row r="37" spans="1:10" ht="12.75">
      <c r="A37" s="37"/>
      <c r="B37" s="22" t="s">
        <v>11</v>
      </c>
      <c r="C37" s="22"/>
      <c r="D37" s="8"/>
      <c r="E37" s="8"/>
      <c r="F37" s="64"/>
      <c r="G37" s="10"/>
      <c r="H37" s="10"/>
      <c r="J37" s="116"/>
    </row>
    <row r="38" spans="1:10" ht="12.75">
      <c r="A38" s="37"/>
      <c r="B38" s="21" t="s">
        <v>12</v>
      </c>
      <c r="C38" s="22"/>
      <c r="D38" s="8"/>
      <c r="E38" s="8"/>
      <c r="F38" s="64">
        <f>'[3]M-GER95A.XLS'!$X$64+'[3]M-GER95A.XLS'!$X$65+1</f>
        <v>436160.59880000004</v>
      </c>
      <c r="G38" s="10"/>
      <c r="H38" s="10">
        <f>344498</f>
        <v>344498</v>
      </c>
      <c r="J38" s="116">
        <f>442304</f>
        <v>442304</v>
      </c>
    </row>
    <row r="39" spans="1:10" ht="12.75">
      <c r="A39" s="37"/>
      <c r="B39" s="22" t="s">
        <v>13</v>
      </c>
      <c r="C39" s="22"/>
      <c r="D39" s="8"/>
      <c r="E39" s="8"/>
      <c r="F39" s="64">
        <f>'[3]M-GER95A.XLS'!$X$66</f>
        <v>32090.296394524</v>
      </c>
      <c r="G39" s="10"/>
      <c r="H39" s="10">
        <f>36341</f>
        <v>36341</v>
      </c>
      <c r="J39" s="116">
        <f>56410</f>
        <v>56410</v>
      </c>
    </row>
    <row r="40" spans="1:10" ht="12.75">
      <c r="A40" s="60" t="s">
        <v>166</v>
      </c>
      <c r="B40" s="38"/>
      <c r="C40" s="23"/>
      <c r="D40" s="8"/>
      <c r="E40" s="8"/>
      <c r="F40" s="107">
        <f>SUM(F29:F39)+1</f>
        <v>932796.0543200626</v>
      </c>
      <c r="H40" s="106">
        <f>SUM(H29:H39)</f>
        <v>937847</v>
      </c>
      <c r="J40" s="106">
        <f>SUM(J29:J39)</f>
        <v>866178</v>
      </c>
    </row>
    <row r="41" spans="1:10" ht="12.75">
      <c r="A41" s="37"/>
      <c r="B41" s="24" t="s">
        <v>128</v>
      </c>
      <c r="C41" s="23"/>
      <c r="D41" s="8"/>
      <c r="E41" s="8"/>
      <c r="F41" s="124">
        <v>0</v>
      </c>
      <c r="H41" s="10">
        <f>8046</f>
        <v>8046</v>
      </c>
      <c r="J41" s="134">
        <f>7993</f>
        <v>7993</v>
      </c>
    </row>
    <row r="42" spans="3:10" ht="12.75">
      <c r="C42" s="23"/>
      <c r="D42" s="8"/>
      <c r="E42" s="8"/>
      <c r="F42" s="80">
        <f>F41+F40</f>
        <v>932796.0543200626</v>
      </c>
      <c r="H42" s="12">
        <f>H41+H40</f>
        <v>945893</v>
      </c>
      <c r="J42" s="12">
        <f>J41+J40</f>
        <v>874171</v>
      </c>
    </row>
    <row r="43" spans="1:10" ht="12.75">
      <c r="A43" s="37"/>
      <c r="B43" s="38"/>
      <c r="C43" s="23"/>
      <c r="D43" s="8"/>
      <c r="E43" s="8"/>
      <c r="F43" s="64"/>
      <c r="H43" s="10"/>
      <c r="J43" s="10"/>
    </row>
    <row r="44" spans="1:10" ht="13.5" thickBot="1">
      <c r="A44" s="37" t="s">
        <v>56</v>
      </c>
      <c r="B44" s="38"/>
      <c r="C44" s="23"/>
      <c r="D44" s="8"/>
      <c r="E44" s="8"/>
      <c r="F44" s="81">
        <f>F42+F26</f>
        <v>1324732.0498222294</v>
      </c>
      <c r="H44" s="58">
        <f>H42+H26</f>
        <v>1369039</v>
      </c>
      <c r="J44" s="58">
        <f>J42+J26</f>
        <v>1258073</v>
      </c>
    </row>
    <row r="45" spans="1:8" ht="13.5" thickTop="1">
      <c r="A45" s="37"/>
      <c r="B45" s="38"/>
      <c r="C45" s="23"/>
      <c r="D45" s="8"/>
      <c r="E45" s="8"/>
      <c r="F45" s="64"/>
      <c r="H45" s="10"/>
    </row>
    <row r="46" spans="1:8" ht="12.75">
      <c r="A46" s="37"/>
      <c r="B46" s="38"/>
      <c r="C46" s="23"/>
      <c r="D46" s="8"/>
      <c r="E46" s="8"/>
      <c r="F46" s="64"/>
      <c r="H46" s="10"/>
    </row>
    <row r="47" spans="1:8" ht="12.75">
      <c r="A47" s="37" t="s">
        <v>57</v>
      </c>
      <c r="B47" s="38"/>
      <c r="C47" s="23"/>
      <c r="D47" s="8"/>
      <c r="E47" s="8"/>
      <c r="F47" s="64"/>
      <c r="G47" s="10"/>
      <c r="H47" s="10"/>
    </row>
    <row r="48" spans="1:8" ht="12.75">
      <c r="A48" s="49" t="s">
        <v>193</v>
      </c>
      <c r="B48" s="38"/>
      <c r="C48" s="23"/>
      <c r="D48" s="8"/>
      <c r="E48" s="8"/>
      <c r="F48" s="64"/>
      <c r="G48" s="10"/>
      <c r="H48" s="10"/>
    </row>
    <row r="49" spans="1:8" ht="12.75">
      <c r="A49" s="39" t="s">
        <v>163</v>
      </c>
      <c r="B49" s="38"/>
      <c r="C49" s="23"/>
      <c r="D49" s="8"/>
      <c r="E49" s="8"/>
      <c r="F49" s="64"/>
      <c r="G49" s="10"/>
      <c r="H49" s="10"/>
    </row>
    <row r="50" spans="1:10" ht="12.75">
      <c r="A50" s="21"/>
      <c r="B50" s="22" t="s">
        <v>85</v>
      </c>
      <c r="C50" s="38"/>
      <c r="D50" s="8"/>
      <c r="E50" s="8"/>
      <c r="F50" s="89">
        <f>'[3]M-GER95A.XLS'!$X$95</f>
        <v>693334.4933726199</v>
      </c>
      <c r="H50" s="9">
        <v>693334</v>
      </c>
      <c r="J50" s="116">
        <f>693334</f>
        <v>693334</v>
      </c>
    </row>
    <row r="51" spans="1:10" ht="12.75">
      <c r="A51" s="21"/>
      <c r="B51" s="22" t="s">
        <v>110</v>
      </c>
      <c r="C51" s="38"/>
      <c r="D51" s="8"/>
      <c r="E51" s="8"/>
      <c r="F51" s="109">
        <f>'[3]M-GER95A.XLS'!$X$103</f>
        <v>-9731</v>
      </c>
      <c r="H51" s="104">
        <f>-881</f>
        <v>-881</v>
      </c>
      <c r="J51" s="116">
        <f>-4887</f>
        <v>-4887</v>
      </c>
    </row>
    <row r="52" spans="1:10" ht="12.75">
      <c r="A52" s="21"/>
      <c r="B52" s="22" t="s">
        <v>86</v>
      </c>
      <c r="C52" s="38"/>
      <c r="D52" s="8"/>
      <c r="E52" s="8"/>
      <c r="F52" s="89">
        <f>'[3]M-GER95A.XLS'!$X$99+'[3]M-GER95A.XLS'!$X$102+'[3]M-GER95A.XLS'!$X$104+1+'[3]M-GER95A.XLS'!$X$98</f>
        <v>70339.71531155435</v>
      </c>
      <c r="H52" s="9">
        <f>78324</f>
        <v>78324</v>
      </c>
      <c r="J52" s="116">
        <f>69051</f>
        <v>69051</v>
      </c>
    </row>
    <row r="53" spans="1:10" ht="12.75">
      <c r="A53" s="21"/>
      <c r="B53" s="22" t="s">
        <v>137</v>
      </c>
      <c r="C53" s="4"/>
      <c r="D53" s="8"/>
      <c r="E53" s="8"/>
      <c r="F53" s="82">
        <f>'[3]M-GER95A.XLS'!$X$119+3</f>
        <v>259924.62376902933</v>
      </c>
      <c r="H53" s="57">
        <f>196882</f>
        <v>196882</v>
      </c>
      <c r="J53" s="134">
        <f>184281</f>
        <v>184281</v>
      </c>
    </row>
    <row r="54" spans="4:10" ht="12.75">
      <c r="D54" s="8"/>
      <c r="E54" s="8"/>
      <c r="F54" s="83">
        <f>SUM(F50:F53)</f>
        <v>1013867.8324532036</v>
      </c>
      <c r="H54" s="41">
        <f>SUM(H50:H53)</f>
        <v>967659</v>
      </c>
      <c r="J54" s="41">
        <f>SUM(J50:J53)</f>
        <v>941779</v>
      </c>
    </row>
    <row r="55" spans="2:10" ht="12.75">
      <c r="B55" s="59" t="s">
        <v>111</v>
      </c>
      <c r="C55" s="70"/>
      <c r="D55" s="8"/>
      <c r="E55" s="8"/>
      <c r="F55" s="89">
        <f>'[3]M-GER95A.XLS'!$X$121-'[3]M-GER95A.XLS'!$X$62-2</f>
        <v>2708.0422769865545</v>
      </c>
      <c r="H55" s="9">
        <f>3755</f>
        <v>3755</v>
      </c>
      <c r="J55" s="116">
        <f>7784</f>
        <v>7784</v>
      </c>
    </row>
    <row r="56" spans="1:10" ht="12.75">
      <c r="A56" s="49" t="s">
        <v>192</v>
      </c>
      <c r="B56" s="24"/>
      <c r="C56" s="38"/>
      <c r="D56" s="8"/>
      <c r="E56" s="8"/>
      <c r="F56" s="80">
        <f>F54+F55</f>
        <v>1016575.8747301901</v>
      </c>
      <c r="H56" s="12">
        <f>H54+H55</f>
        <v>971414</v>
      </c>
      <c r="J56" s="12">
        <f>J54+J55</f>
        <v>949563</v>
      </c>
    </row>
    <row r="57" spans="1:10" ht="12.75">
      <c r="A57" s="60"/>
      <c r="B57" s="24"/>
      <c r="C57" s="38"/>
      <c r="D57" s="8"/>
      <c r="E57" s="8"/>
      <c r="F57" s="64"/>
      <c r="H57" s="10"/>
      <c r="J57" s="116"/>
    </row>
    <row r="58" spans="1:10" ht="12.75">
      <c r="A58" s="49" t="s">
        <v>202</v>
      </c>
      <c r="B58" s="24"/>
      <c r="C58" s="38"/>
      <c r="D58" s="8"/>
      <c r="E58" s="8"/>
      <c r="F58" s="64"/>
      <c r="H58" s="10"/>
      <c r="J58" s="116"/>
    </row>
    <row r="59" spans="1:10" ht="12.75">
      <c r="A59" s="13" t="s">
        <v>129</v>
      </c>
      <c r="B59" s="24"/>
      <c r="C59" s="38"/>
      <c r="D59" s="8"/>
      <c r="E59" s="8"/>
      <c r="F59" s="64"/>
      <c r="H59" s="10"/>
      <c r="J59" s="116"/>
    </row>
    <row r="60" spans="1:10" ht="12.75">
      <c r="A60" s="13"/>
      <c r="B60" s="24" t="s">
        <v>14</v>
      </c>
      <c r="C60" s="38"/>
      <c r="D60" s="8"/>
      <c r="E60" s="8"/>
      <c r="F60" s="64">
        <f>'[3]M-GER95A.XLS'!$X$129</f>
        <v>7643.49162</v>
      </c>
      <c r="H60" s="83">
        <f>7642</f>
        <v>7642</v>
      </c>
      <c r="J60" s="124">
        <v>0</v>
      </c>
    </row>
    <row r="61" spans="1:10" ht="12.75">
      <c r="A61" s="59"/>
      <c r="B61" s="59" t="s">
        <v>101</v>
      </c>
      <c r="C61" s="24"/>
      <c r="D61" s="24"/>
      <c r="E61" s="24"/>
      <c r="F61" s="84">
        <f>'[3]M-GER95A.XLS'!$X$131</f>
        <v>14446.3323</v>
      </c>
      <c r="G61" s="24"/>
      <c r="H61" s="108">
        <f>11975</f>
        <v>11975</v>
      </c>
      <c r="J61" s="116">
        <f>9640</f>
        <v>9640</v>
      </c>
    </row>
    <row r="62" spans="1:10" ht="12.75">
      <c r="A62" s="59"/>
      <c r="B62" s="70" t="s">
        <v>87</v>
      </c>
      <c r="C62" s="38"/>
      <c r="D62" s="8"/>
      <c r="E62" s="8"/>
      <c r="F62" s="89">
        <f>'[3]M-GER95A.XLS'!$X$128+83</f>
        <v>7093.7617</v>
      </c>
      <c r="H62" s="104">
        <f>7094</f>
        <v>7094</v>
      </c>
      <c r="J62" s="116">
        <f>8273</f>
        <v>8273</v>
      </c>
    </row>
    <row r="63" spans="1:10" ht="12.75">
      <c r="A63" s="60" t="s">
        <v>168</v>
      </c>
      <c r="B63" s="38"/>
      <c r="C63" s="38"/>
      <c r="D63" s="8"/>
      <c r="E63" s="8"/>
      <c r="F63" s="80">
        <f>F62+F61+F60-1</f>
        <v>29182.58562</v>
      </c>
      <c r="H63" s="105">
        <f>SUM(H60:H62)</f>
        <v>26711</v>
      </c>
      <c r="J63" s="105">
        <f>SUM(J60:J62)</f>
        <v>17913</v>
      </c>
    </row>
    <row r="64" spans="6:10" ht="12.75">
      <c r="F64" s="88"/>
      <c r="J64" s="116"/>
    </row>
    <row r="65" spans="1:10" ht="12.75">
      <c r="A65" s="37" t="s">
        <v>130</v>
      </c>
      <c r="B65" s="38"/>
      <c r="C65" s="23"/>
      <c r="D65" s="8"/>
      <c r="E65" s="8"/>
      <c r="F65" s="64"/>
      <c r="G65" s="10"/>
      <c r="H65" s="10"/>
      <c r="J65" s="116"/>
    </row>
    <row r="66" spans="1:10" ht="12.75">
      <c r="A66" s="37"/>
      <c r="B66" s="24" t="s">
        <v>136</v>
      </c>
      <c r="C66" s="23"/>
      <c r="D66" s="8"/>
      <c r="E66" s="8"/>
      <c r="F66" s="64">
        <f>'[3]M-GER95A.XLS'!$X$74</f>
        <v>8678.1295</v>
      </c>
      <c r="G66" s="10"/>
      <c r="H66" s="10">
        <f>10982</f>
        <v>10982</v>
      </c>
      <c r="J66" s="116">
        <f>8023</f>
        <v>8023</v>
      </c>
    </row>
    <row r="67" spans="1:10" ht="12.75">
      <c r="A67" s="37"/>
      <c r="B67" s="21" t="s">
        <v>69</v>
      </c>
      <c r="C67" s="22"/>
      <c r="D67" s="8"/>
      <c r="E67" s="8"/>
      <c r="F67" s="64">
        <f>'[3]M-GER95A.XLS'!$X$71</f>
        <v>78743.299857818</v>
      </c>
      <c r="G67" s="10"/>
      <c r="H67" s="10">
        <f>86948</f>
        <v>86948</v>
      </c>
      <c r="J67" s="116">
        <f>179018</f>
        <v>179018</v>
      </c>
    </row>
    <row r="68" spans="1:10" ht="12.75">
      <c r="A68" s="37"/>
      <c r="B68" s="22" t="s">
        <v>70</v>
      </c>
      <c r="C68" s="22"/>
      <c r="D68" s="8"/>
      <c r="E68" s="8"/>
      <c r="F68" s="90">
        <f>'[3]M-GER95A.XLS'!$X$73+'[3]M-GER95A.XLS'!$X$75+'[3]M-GER95A.XLS'!$X$72+'[3]M-GER95A.XLS'!$X$83</f>
        <v>58645.182765002995</v>
      </c>
      <c r="G68" s="10"/>
      <c r="H68" s="10">
        <f>55352</f>
        <v>55352</v>
      </c>
      <c r="J68" s="116">
        <f>51625</f>
        <v>51625</v>
      </c>
    </row>
    <row r="69" spans="1:10" ht="12.75">
      <c r="A69" s="37"/>
      <c r="B69" s="22" t="s">
        <v>14</v>
      </c>
      <c r="C69" s="22"/>
      <c r="D69" s="8"/>
      <c r="E69" s="8"/>
      <c r="F69" s="64">
        <f>'[3]M-GER95A.XLS'!$X$82+'[3]M-GER95A.XLS'!$X$84</f>
        <v>132256.97529</v>
      </c>
      <c r="G69" s="10"/>
      <c r="H69" s="10">
        <f>217270</f>
        <v>217270</v>
      </c>
      <c r="J69" s="116">
        <f>51459</f>
        <v>51459</v>
      </c>
    </row>
    <row r="70" spans="1:10" ht="12.75">
      <c r="A70" s="37"/>
      <c r="B70" s="21" t="s">
        <v>98</v>
      </c>
      <c r="C70" s="23"/>
      <c r="D70" s="8"/>
      <c r="E70" s="8"/>
      <c r="F70" s="64">
        <f>'[3]M-GER95A.XLS'!$X$79</f>
        <v>650</v>
      </c>
      <c r="G70" s="10"/>
      <c r="H70" s="10">
        <f>362</f>
        <v>362</v>
      </c>
      <c r="J70" s="116">
        <f>472</f>
        <v>472</v>
      </c>
    </row>
    <row r="71" spans="1:10" ht="12.75">
      <c r="A71" s="60" t="s">
        <v>167</v>
      </c>
      <c r="B71" s="38"/>
      <c r="C71" s="33"/>
      <c r="D71" s="8"/>
      <c r="E71" s="8"/>
      <c r="F71" s="80">
        <f>SUM(F66:F70)-1</f>
        <v>278972.587412821</v>
      </c>
      <c r="H71" s="12">
        <f>SUM(H66:H70)</f>
        <v>370914</v>
      </c>
      <c r="J71" s="12">
        <f>SUM(J66:J70)</f>
        <v>290597</v>
      </c>
    </row>
    <row r="72" spans="1:10" ht="12.75">
      <c r="A72" s="37"/>
      <c r="B72" s="38"/>
      <c r="C72" s="33"/>
      <c r="D72" s="8"/>
      <c r="E72" s="8"/>
      <c r="F72" s="64"/>
      <c r="H72" s="10"/>
      <c r="J72" s="10"/>
    </row>
    <row r="73" spans="1:10" ht="12.75">
      <c r="A73" s="39" t="s">
        <v>58</v>
      </c>
      <c r="B73" s="38"/>
      <c r="C73" s="33"/>
      <c r="D73" s="8"/>
      <c r="E73" s="8"/>
      <c r="F73" s="64">
        <f>F71+F63+1</f>
        <v>308156.17303282104</v>
      </c>
      <c r="H73" s="10">
        <f>H71+H63</f>
        <v>397625</v>
      </c>
      <c r="J73" s="10">
        <f>J71+J63</f>
        <v>308510</v>
      </c>
    </row>
    <row r="74" spans="2:10" ht="12.75">
      <c r="B74" s="38"/>
      <c r="C74" s="38"/>
      <c r="D74" s="8"/>
      <c r="E74" s="8"/>
      <c r="F74" s="91"/>
      <c r="H74" s="9"/>
      <c r="J74" s="9"/>
    </row>
    <row r="75" spans="1:10" ht="13.5" thickBot="1">
      <c r="A75" s="39" t="s">
        <v>59</v>
      </c>
      <c r="B75" s="38"/>
      <c r="C75" s="38"/>
      <c r="D75" s="8"/>
      <c r="E75" s="8"/>
      <c r="F75" s="92">
        <f>F73+F56</f>
        <v>1324732.0477630112</v>
      </c>
      <c r="H75" s="11">
        <f>H73+H56</f>
        <v>1369039</v>
      </c>
      <c r="J75" s="11">
        <f>J73+J56</f>
        <v>1258073</v>
      </c>
    </row>
    <row r="76" spans="1:10" ht="13.5" thickTop="1">
      <c r="A76" s="3"/>
      <c r="C76" s="8"/>
      <c r="D76" s="8"/>
      <c r="E76" s="8"/>
      <c r="F76" s="93">
        <f>F75-F44</f>
        <v>-0.002059218240901828</v>
      </c>
      <c r="H76" s="18"/>
      <c r="J76" s="116"/>
    </row>
    <row r="77" spans="1:8" ht="12.75">
      <c r="A77" s="3"/>
      <c r="C77" s="8"/>
      <c r="D77" s="8"/>
      <c r="E77" s="8"/>
      <c r="F77" s="93"/>
      <c r="H77" s="18"/>
    </row>
    <row r="78" spans="1:8" ht="12.75">
      <c r="A78" s="49" t="s">
        <v>112</v>
      </c>
      <c r="C78" s="8"/>
      <c r="D78" s="8"/>
      <c r="E78" s="8"/>
      <c r="F78" s="93"/>
      <c r="H78" s="18"/>
    </row>
    <row r="79" spans="1:10" ht="12.75">
      <c r="A79" s="49" t="s">
        <v>164</v>
      </c>
      <c r="C79" s="8"/>
      <c r="D79" s="8"/>
      <c r="E79" s="8"/>
      <c r="F79" s="94">
        <f>F54/'[4]June 2013'!$C$38</f>
        <v>1.5108234194686376</v>
      </c>
      <c r="G79" s="18"/>
      <c r="H79" s="54">
        <f>H54/'[1]June 2012'!$C$38</f>
        <v>1.399628804796721</v>
      </c>
      <c r="J79">
        <f>1.38</f>
        <v>1.38</v>
      </c>
    </row>
    <row r="80" spans="1:8" ht="12.75">
      <c r="A80" s="49"/>
      <c r="C80" s="8"/>
      <c r="D80" s="8"/>
      <c r="E80" s="8"/>
      <c r="F80" s="54"/>
      <c r="G80" s="18"/>
      <c r="H80" s="54"/>
    </row>
    <row r="81" spans="1:8" ht="12.75">
      <c r="A81" s="49"/>
      <c r="C81" s="8"/>
      <c r="D81" s="8"/>
      <c r="E81" s="8"/>
      <c r="F81" s="54"/>
      <c r="G81" s="18"/>
      <c r="H81" s="54"/>
    </row>
    <row r="82" spans="1:12" ht="12.75">
      <c r="A82" s="222" t="s">
        <v>204</v>
      </c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</row>
    <row r="83" spans="1:12" ht="12.75">
      <c r="A83" s="223" t="s">
        <v>205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</row>
    <row r="84" spans="1:11" ht="12.75">
      <c r="A84" s="223" t="s">
        <v>194</v>
      </c>
      <c r="B84" s="223"/>
      <c r="C84" s="223"/>
      <c r="D84" s="223"/>
      <c r="E84" s="223"/>
      <c r="F84" s="223"/>
      <c r="G84" s="223"/>
      <c r="H84" s="223"/>
      <c r="I84" s="223"/>
      <c r="J84" s="223"/>
      <c r="K84" s="223"/>
    </row>
    <row r="86" spans="1:11" ht="12.75">
      <c r="A86" s="219" t="s">
        <v>254</v>
      </c>
      <c r="B86" s="220"/>
      <c r="C86" s="220"/>
      <c r="D86" s="220"/>
      <c r="E86" s="220"/>
      <c r="F86" s="220"/>
      <c r="G86" s="220"/>
      <c r="H86" s="220"/>
      <c r="I86" s="220"/>
      <c r="J86" s="220"/>
      <c r="K86" s="220"/>
    </row>
    <row r="87" spans="1:11" ht="12.75">
      <c r="A87" s="221" t="s">
        <v>195</v>
      </c>
      <c r="B87" s="221"/>
      <c r="C87" s="221"/>
      <c r="D87" s="221"/>
      <c r="E87" s="221"/>
      <c r="F87" s="221"/>
      <c r="G87" s="221"/>
      <c r="H87" s="221"/>
      <c r="I87" s="221"/>
      <c r="J87" s="221"/>
      <c r="K87" s="221"/>
    </row>
    <row r="91" spans="1:8" ht="12.75">
      <c r="A91" s="37"/>
      <c r="B91" s="38"/>
      <c r="C91" s="37"/>
      <c r="D91" s="8"/>
      <c r="E91" s="8"/>
      <c r="F91" s="9"/>
      <c r="H91" s="9"/>
    </row>
    <row r="92" spans="1:8" ht="12.75">
      <c r="A92" s="61"/>
      <c r="B92" s="62"/>
      <c r="C92" s="62"/>
      <c r="D92" s="63"/>
      <c r="E92" s="63"/>
      <c r="F92" s="64"/>
      <c r="G92" s="65"/>
      <c r="H92" s="64"/>
    </row>
    <row r="93" spans="1:8" ht="12.75">
      <c r="A93" s="61"/>
      <c r="B93" s="62"/>
      <c r="C93" s="61"/>
      <c r="D93" s="63"/>
      <c r="E93" s="63"/>
      <c r="F93" s="64"/>
      <c r="G93" s="65"/>
      <c r="H93" s="64"/>
    </row>
  </sheetData>
  <mergeCells count="8">
    <mergeCell ref="A1:J1"/>
    <mergeCell ref="A3:J3"/>
    <mergeCell ref="A86:K86"/>
    <mergeCell ref="A87:K87"/>
    <mergeCell ref="A2:J2"/>
    <mergeCell ref="A82:L82"/>
    <mergeCell ref="A83:L83"/>
    <mergeCell ref="A84:K84"/>
  </mergeCells>
  <printOptions/>
  <pageMargins left="1" right="0" top="0.1" bottom="0" header="0.26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39"/>
  <sheetViews>
    <sheetView zoomScale="80" zoomScaleNormal="80" workbookViewId="0" topLeftCell="A6">
      <selection activeCell="A60" sqref="A60"/>
    </sheetView>
  </sheetViews>
  <sheetFormatPr defaultColWidth="9.140625" defaultRowHeight="12.75"/>
  <cols>
    <col min="1" max="1" width="25.7109375" style="0" customWidth="1"/>
    <col min="2" max="2" width="6.7109375" style="0" customWidth="1"/>
    <col min="3" max="3" width="1.7109375" style="0" customWidth="1"/>
    <col min="4" max="5" width="11.7109375" style="0" customWidth="1"/>
    <col min="6" max="6" width="20.7109375" style="0" customWidth="1"/>
    <col min="7" max="9" width="11.7109375" style="0" customWidth="1"/>
    <col min="10" max="10" width="13.7109375" style="0" customWidth="1"/>
    <col min="11" max="11" width="10.7109375" style="0" customWidth="1"/>
    <col min="12" max="12" width="11.7109375" style="0" customWidth="1"/>
    <col min="13" max="13" width="12.7109375" style="0" customWidth="1"/>
  </cols>
  <sheetData>
    <row r="1" spans="1:13" ht="15.75">
      <c r="A1" s="225" t="s">
        <v>91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79"/>
      <c r="M1" s="79"/>
    </row>
    <row r="2" spans="1:13" ht="12.75">
      <c r="A2" s="226" t="s">
        <v>62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78"/>
      <c r="M2" s="78"/>
    </row>
    <row r="3" spans="1:13" ht="12.75">
      <c r="A3" s="226" t="s">
        <v>63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1"/>
      <c r="M3" s="78"/>
    </row>
    <row r="4" spans="1:10" ht="12.75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3" ht="13.5" thickBot="1">
      <c r="A5" s="48" t="s">
        <v>235</v>
      </c>
      <c r="B5" s="35"/>
      <c r="C5" s="35"/>
      <c r="D5" s="35"/>
      <c r="E5" s="35"/>
      <c r="F5" s="35"/>
      <c r="G5" s="35"/>
      <c r="H5" s="35"/>
      <c r="I5" s="35"/>
      <c r="J5" s="31"/>
      <c r="K5" s="19"/>
      <c r="L5" s="19"/>
      <c r="M5" s="19"/>
    </row>
    <row r="6" spans="1:10" ht="15.75">
      <c r="A6" s="28"/>
      <c r="B6" s="26"/>
      <c r="C6" s="23"/>
      <c r="D6" s="24"/>
      <c r="E6" s="24"/>
      <c r="F6" s="24"/>
      <c r="G6" s="24"/>
      <c r="H6" s="27"/>
      <c r="I6" s="27"/>
      <c r="J6" s="27"/>
    </row>
    <row r="7" spans="1:10" ht="15.75">
      <c r="A7" s="49" t="s">
        <v>237</v>
      </c>
      <c r="B7" s="26"/>
      <c r="C7" s="23"/>
      <c r="D7" s="24"/>
      <c r="E7" s="24"/>
      <c r="F7" s="24"/>
      <c r="G7" s="24"/>
      <c r="H7" s="27"/>
      <c r="I7" s="27"/>
      <c r="J7" s="27"/>
    </row>
    <row r="8" ht="12.75">
      <c r="A8" s="13"/>
    </row>
    <row r="9" spans="2:10" ht="12.75">
      <c r="B9" s="13"/>
      <c r="D9" s="13" t="s">
        <v>169</v>
      </c>
      <c r="E9" s="66"/>
      <c r="F9" s="66"/>
      <c r="G9" s="66"/>
      <c r="H9" s="66"/>
      <c r="I9" s="66"/>
      <c r="J9" s="66"/>
    </row>
    <row r="10" spans="2:10" ht="12.75">
      <c r="B10" s="13"/>
      <c r="D10" s="13"/>
      <c r="E10" s="227" t="s">
        <v>208</v>
      </c>
      <c r="F10" s="227"/>
      <c r="G10" s="227"/>
      <c r="H10" s="227"/>
      <c r="I10" s="66" t="s">
        <v>146</v>
      </c>
      <c r="J10" s="66"/>
    </row>
    <row r="11" spans="4:12" ht="12.75">
      <c r="D11" s="20"/>
      <c r="E11" s="20"/>
      <c r="F11" s="20" t="s">
        <v>122</v>
      </c>
      <c r="G11" s="20"/>
      <c r="H11" s="20" t="s">
        <v>28</v>
      </c>
      <c r="I11" s="20"/>
      <c r="L11" s="20" t="s">
        <v>113</v>
      </c>
    </row>
    <row r="12" spans="4:13" ht="12.75">
      <c r="D12" s="20" t="s">
        <v>25</v>
      </c>
      <c r="E12" s="20" t="s">
        <v>26</v>
      </c>
      <c r="F12" s="20" t="s">
        <v>207</v>
      </c>
      <c r="G12" s="20" t="s">
        <v>27</v>
      </c>
      <c r="H12" s="20" t="s">
        <v>74</v>
      </c>
      <c r="I12" s="20" t="s">
        <v>29</v>
      </c>
      <c r="J12" s="20" t="s">
        <v>115</v>
      </c>
      <c r="L12" s="20" t="s">
        <v>114</v>
      </c>
      <c r="M12" s="20" t="s">
        <v>60</v>
      </c>
    </row>
    <row r="13" spans="4:13" ht="12.75">
      <c r="D13" s="20" t="s">
        <v>71</v>
      </c>
      <c r="E13" s="20" t="s">
        <v>72</v>
      </c>
      <c r="F13" s="20" t="s">
        <v>123</v>
      </c>
      <c r="G13" s="20" t="s">
        <v>73</v>
      </c>
      <c r="H13" s="20" t="s">
        <v>75</v>
      </c>
      <c r="I13" s="20" t="s">
        <v>76</v>
      </c>
      <c r="J13" s="20" t="s">
        <v>142</v>
      </c>
      <c r="K13" s="20" t="s">
        <v>30</v>
      </c>
      <c r="L13" s="20" t="s">
        <v>77</v>
      </c>
      <c r="M13" s="20" t="s">
        <v>78</v>
      </c>
    </row>
    <row r="14" spans="4:13" ht="12.75">
      <c r="D14" s="20" t="s">
        <v>5</v>
      </c>
      <c r="E14" s="20" t="s">
        <v>5</v>
      </c>
      <c r="F14" s="20" t="s">
        <v>5</v>
      </c>
      <c r="G14" s="20" t="s">
        <v>5</v>
      </c>
      <c r="H14" s="20" t="s">
        <v>5</v>
      </c>
      <c r="I14" s="20" t="s">
        <v>5</v>
      </c>
      <c r="J14" s="20" t="s">
        <v>5</v>
      </c>
      <c r="K14" s="20" t="s">
        <v>5</v>
      </c>
      <c r="L14" s="20" t="s">
        <v>5</v>
      </c>
      <c r="M14" s="20" t="s">
        <v>5</v>
      </c>
    </row>
    <row r="15" spans="1:12" ht="12.75">
      <c r="A15" s="45"/>
      <c r="D15" s="20"/>
      <c r="E15" s="20"/>
      <c r="F15" s="20"/>
      <c r="G15" s="20"/>
      <c r="H15" s="20"/>
      <c r="I15" s="20"/>
      <c r="J15" s="20"/>
      <c r="K15" s="20"/>
      <c r="L15" s="20"/>
    </row>
    <row r="16" spans="1:14" ht="12.75">
      <c r="A16" s="95" t="s">
        <v>238</v>
      </c>
      <c r="B16" s="88"/>
      <c r="C16" s="88"/>
      <c r="D16" s="85"/>
      <c r="E16" s="85"/>
      <c r="F16" s="85"/>
      <c r="G16" s="85"/>
      <c r="H16" s="85"/>
      <c r="I16" s="85"/>
      <c r="J16" s="85"/>
      <c r="K16" s="85"/>
      <c r="L16" s="85"/>
      <c r="M16" s="88"/>
      <c r="N16" s="88"/>
    </row>
    <row r="17" spans="1:14" ht="12.75">
      <c r="A17" s="95"/>
      <c r="B17" s="88"/>
      <c r="C17" s="88"/>
      <c r="D17" s="85"/>
      <c r="E17" s="85"/>
      <c r="F17" s="85"/>
      <c r="G17" s="85"/>
      <c r="H17" s="85"/>
      <c r="I17" s="85"/>
      <c r="J17" s="85"/>
      <c r="K17" s="85"/>
      <c r="L17" s="85"/>
      <c r="M17" s="88"/>
      <c r="N17" s="88"/>
    </row>
    <row r="18" spans="1:14" ht="12.75">
      <c r="A18" s="45" t="s">
        <v>179</v>
      </c>
      <c r="C18" s="88"/>
      <c r="D18" s="83">
        <f>693334</f>
        <v>693334</v>
      </c>
      <c r="E18" s="83">
        <f>47751</f>
        <v>47751</v>
      </c>
      <c r="F18" s="126">
        <f>27576</f>
        <v>27576</v>
      </c>
      <c r="G18" s="83">
        <f>1200</f>
        <v>1200</v>
      </c>
      <c r="H18" s="83">
        <f>1797</f>
        <v>1797</v>
      </c>
      <c r="I18" s="83">
        <f>-881</f>
        <v>-881</v>
      </c>
      <c r="J18" s="83">
        <f>196882</f>
        <v>196882</v>
      </c>
      <c r="K18" s="41">
        <f>SUM(D18:J18)</f>
        <v>967659</v>
      </c>
      <c r="L18" s="83">
        <f>3755</f>
        <v>3755</v>
      </c>
      <c r="M18" s="83">
        <f>L18+K18</f>
        <v>971414</v>
      </c>
      <c r="N18" s="88"/>
    </row>
    <row r="19" spans="1:36" ht="12.75">
      <c r="A19" s="96"/>
      <c r="B19" s="88"/>
      <c r="C19" s="88"/>
      <c r="D19" s="83"/>
      <c r="E19" s="83"/>
      <c r="F19" s="127"/>
      <c r="G19" s="83"/>
      <c r="H19" s="83"/>
      <c r="I19" s="83"/>
      <c r="J19" s="83"/>
      <c r="K19" s="83"/>
      <c r="L19" s="83"/>
      <c r="M19" s="83"/>
      <c r="N19" s="83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</row>
    <row r="20" spans="1:36" ht="12.75">
      <c r="A20" s="114" t="s">
        <v>134</v>
      </c>
      <c r="B20" s="88"/>
      <c r="C20" s="88"/>
      <c r="D20" s="83"/>
      <c r="E20" s="83"/>
      <c r="F20" s="127"/>
      <c r="G20" s="83"/>
      <c r="H20" s="83"/>
      <c r="I20" s="83"/>
      <c r="J20" s="83"/>
      <c r="K20" s="83"/>
      <c r="L20" s="83"/>
      <c r="M20" s="83"/>
      <c r="N20" s="83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</row>
    <row r="21" spans="1:36" ht="12.75">
      <c r="A21" s="88" t="s">
        <v>106</v>
      </c>
      <c r="B21" s="88"/>
      <c r="C21" s="88"/>
      <c r="D21" s="83">
        <v>0</v>
      </c>
      <c r="E21" s="83">
        <v>0</v>
      </c>
      <c r="F21" s="127">
        <v>0</v>
      </c>
      <c r="G21" s="83">
        <v>0</v>
      </c>
      <c r="H21" s="83">
        <v>0</v>
      </c>
      <c r="I21" s="83">
        <f>I34-I18</f>
        <v>-8850</v>
      </c>
      <c r="J21" s="83">
        <v>0</v>
      </c>
      <c r="K21" s="83">
        <f>SUM(D21:J21)</f>
        <v>-8850</v>
      </c>
      <c r="L21" s="83">
        <v>0</v>
      </c>
      <c r="M21" s="83">
        <f>L21+K21</f>
        <v>-8850</v>
      </c>
      <c r="N21" s="83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</row>
    <row r="22" spans="1:36" ht="12.75">
      <c r="A22" s="88"/>
      <c r="B22" s="88"/>
      <c r="C22" s="88"/>
      <c r="D22" s="83"/>
      <c r="E22" s="83"/>
      <c r="F22" s="127"/>
      <c r="G22" s="83"/>
      <c r="H22" s="83"/>
      <c r="I22" s="83"/>
      <c r="J22" s="83"/>
      <c r="K22" s="83"/>
      <c r="L22" s="83"/>
      <c r="M22" s="83"/>
      <c r="N22" s="83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</row>
    <row r="23" spans="1:36" ht="12.75">
      <c r="A23" s="88" t="s">
        <v>219</v>
      </c>
      <c r="B23" s="88"/>
      <c r="C23" s="88"/>
      <c r="D23" s="83"/>
      <c r="E23" s="83"/>
      <c r="F23" s="127"/>
      <c r="G23" s="83"/>
      <c r="H23" s="83"/>
      <c r="I23" s="83"/>
      <c r="J23" s="83"/>
      <c r="K23" s="83"/>
      <c r="L23" s="83"/>
      <c r="M23" s="83"/>
      <c r="N23" s="83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</row>
    <row r="24" spans="1:36" ht="12.75">
      <c r="A24" s="88" t="s">
        <v>220</v>
      </c>
      <c r="B24" s="88"/>
      <c r="C24" s="88"/>
      <c r="D24" s="83">
        <v>0</v>
      </c>
      <c r="E24" s="83">
        <v>0</v>
      </c>
      <c r="F24" s="127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f>-1129</f>
        <v>-1129</v>
      </c>
      <c r="M24" s="83">
        <f>L24+K24</f>
        <v>-1129</v>
      </c>
      <c r="N24" s="83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</row>
    <row r="25" spans="1:36" ht="12.75">
      <c r="A25" s="88"/>
      <c r="B25" s="88"/>
      <c r="C25" s="88"/>
      <c r="D25" s="83"/>
      <c r="E25" s="83"/>
      <c r="F25" s="127"/>
      <c r="G25" s="83"/>
      <c r="H25" s="83"/>
      <c r="I25" s="83"/>
      <c r="J25" s="83"/>
      <c r="K25" s="83"/>
      <c r="L25" s="83"/>
      <c r="M25" s="83"/>
      <c r="N25" s="83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</row>
    <row r="26" spans="1:36" ht="12.75">
      <c r="A26" t="s">
        <v>252</v>
      </c>
      <c r="B26" s="88"/>
      <c r="C26" s="88"/>
      <c r="D26" s="83"/>
      <c r="E26" s="83"/>
      <c r="F26" s="127"/>
      <c r="G26" s="83"/>
      <c r="H26" s="83"/>
      <c r="I26" s="83"/>
      <c r="J26" s="83"/>
      <c r="K26" s="83"/>
      <c r="L26" s="83"/>
      <c r="M26" s="83"/>
      <c r="N26" s="83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</row>
    <row r="27" spans="1:36" ht="12.75">
      <c r="A27" t="s">
        <v>250</v>
      </c>
      <c r="B27" s="88"/>
      <c r="C27" s="88"/>
      <c r="D27" s="83">
        <v>0</v>
      </c>
      <c r="E27" s="83">
        <v>0</v>
      </c>
      <c r="F27" s="127">
        <v>0</v>
      </c>
      <c r="G27" s="83">
        <v>0</v>
      </c>
      <c r="H27" s="83">
        <v>0</v>
      </c>
      <c r="I27" s="83">
        <v>0</v>
      </c>
      <c r="J27" s="83">
        <f>'[3]M-GER95A.XLS'!$X$261</f>
        <v>-6557.6021</v>
      </c>
      <c r="K27" s="83">
        <f>SUM(D27:J27)</f>
        <v>-6557.6021</v>
      </c>
      <c r="L27" s="83">
        <v>0</v>
      </c>
      <c r="M27" s="83">
        <f>L27+K27</f>
        <v>-6557.6021</v>
      </c>
      <c r="N27" s="83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</row>
    <row r="28" spans="1:36" ht="12.75">
      <c r="A28" s="88"/>
      <c r="B28" s="88"/>
      <c r="C28" s="88"/>
      <c r="D28" s="111"/>
      <c r="E28" s="111"/>
      <c r="F28" s="128"/>
      <c r="G28" s="111"/>
      <c r="H28" s="111"/>
      <c r="I28" s="111"/>
      <c r="J28" s="111"/>
      <c r="K28" s="111"/>
      <c r="L28" s="111"/>
      <c r="M28" s="111"/>
      <c r="N28" s="83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</row>
    <row r="29" spans="1:36" ht="12.75">
      <c r="A29" s="101" t="s">
        <v>135</v>
      </c>
      <c r="B29" s="88"/>
      <c r="C29" s="88"/>
      <c r="D29" s="99">
        <f aca="true" t="shared" si="0" ref="D29:I29">SUM(D20:D21)</f>
        <v>0</v>
      </c>
      <c r="E29" s="99">
        <f t="shared" si="0"/>
        <v>0</v>
      </c>
      <c r="F29" s="129">
        <f t="shared" si="0"/>
        <v>0</v>
      </c>
      <c r="G29" s="99">
        <f t="shared" si="0"/>
        <v>0</v>
      </c>
      <c r="H29" s="99">
        <f t="shared" si="0"/>
        <v>0</v>
      </c>
      <c r="I29" s="99">
        <f t="shared" si="0"/>
        <v>-8850</v>
      </c>
      <c r="J29" s="99">
        <f>J27</f>
        <v>-6557.6021</v>
      </c>
      <c r="K29" s="99">
        <f>SUM(K21:K27)</f>
        <v>-15407.6021</v>
      </c>
      <c r="L29" s="99">
        <f>SUM(L20:L24)</f>
        <v>-1129</v>
      </c>
      <c r="M29" s="99">
        <f>SUM(M20:M27)</f>
        <v>-16536.6021</v>
      </c>
      <c r="N29" s="83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</row>
    <row r="30" spans="1:36" ht="12.75">
      <c r="A30" s="88"/>
      <c r="B30" s="88"/>
      <c r="C30" s="88"/>
      <c r="D30" s="83"/>
      <c r="E30" s="83"/>
      <c r="F30" s="127"/>
      <c r="G30" s="83"/>
      <c r="H30" s="83"/>
      <c r="I30" s="83"/>
      <c r="J30" s="83"/>
      <c r="K30" s="83"/>
      <c r="L30" s="83"/>
      <c r="M30" s="83"/>
      <c r="N30" s="83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</row>
    <row r="31" spans="1:36" ht="12.75">
      <c r="A31" s="102" t="s">
        <v>124</v>
      </c>
      <c r="B31" s="88"/>
      <c r="C31" s="88"/>
      <c r="D31" s="83"/>
      <c r="E31" s="83"/>
      <c r="F31" s="127"/>
      <c r="G31" s="83"/>
      <c r="H31" s="83"/>
      <c r="I31" s="83"/>
      <c r="J31" s="83"/>
      <c r="K31" s="83"/>
      <c r="L31" s="83"/>
      <c r="M31" s="83"/>
      <c r="N31" s="83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</row>
    <row r="32" spans="1:36" ht="12.75">
      <c r="A32" s="102" t="s">
        <v>177</v>
      </c>
      <c r="B32" s="88"/>
      <c r="C32" s="88"/>
      <c r="D32" s="83">
        <v>0</v>
      </c>
      <c r="E32" s="83">
        <v>0</v>
      </c>
      <c r="F32" s="127">
        <f>'CI'!H23</f>
        <v>-9709</v>
      </c>
      <c r="G32" s="83">
        <v>0</v>
      </c>
      <c r="H32" s="83">
        <f>H34-H18</f>
        <v>1725.1453115543477</v>
      </c>
      <c r="I32" s="83">
        <v>0</v>
      </c>
      <c r="J32" s="83">
        <f>'P&amp;L'!H57</f>
        <v>69601.03349868911</v>
      </c>
      <c r="K32" s="83">
        <f>SUM(D32:J32)</f>
        <v>61617.17881024346</v>
      </c>
      <c r="L32" s="83">
        <f>'CI'!H34</f>
        <v>81.93423129141237</v>
      </c>
      <c r="M32" s="83">
        <f>L32+K32</f>
        <v>61699.113041534874</v>
      </c>
      <c r="N32" s="83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</row>
    <row r="33" spans="1:36" ht="12.75">
      <c r="A33" s="88"/>
      <c r="B33" s="88"/>
      <c r="C33" s="88"/>
      <c r="D33" s="83"/>
      <c r="E33" s="83"/>
      <c r="F33" s="127"/>
      <c r="G33" s="83"/>
      <c r="H33" s="83"/>
      <c r="I33" s="83"/>
      <c r="J33" s="83"/>
      <c r="K33" s="83"/>
      <c r="L33" s="83"/>
      <c r="M33" s="83"/>
      <c r="N33" s="83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</row>
    <row r="34" spans="1:36" ht="13.5" thickBot="1">
      <c r="A34" s="96" t="s">
        <v>239</v>
      </c>
      <c r="B34" s="88"/>
      <c r="C34" s="88"/>
      <c r="D34" s="97">
        <f>D32+D29+D18</f>
        <v>693334</v>
      </c>
      <c r="E34" s="97">
        <f>E32+E29+E18</f>
        <v>47751</v>
      </c>
      <c r="F34" s="130">
        <f>F32+F29+F18</f>
        <v>17867</v>
      </c>
      <c r="G34" s="97">
        <f>G32+G29+G18</f>
        <v>1200</v>
      </c>
      <c r="H34" s="97">
        <f>'[3]M-GER95A.XLS'!$X$104</f>
        <v>3522.1453115543477</v>
      </c>
      <c r="I34" s="97">
        <f>'[3]M-GER95A.XLS'!$X$103</f>
        <v>-9731</v>
      </c>
      <c r="J34" s="97">
        <f>J32+J29+J18</f>
        <v>259925.4313986891</v>
      </c>
      <c r="K34" s="174">
        <f>K32+K29+K18-1</f>
        <v>1013867.5767102435</v>
      </c>
      <c r="L34" s="97">
        <f>L32+L29+L18</f>
        <v>2707.9342312914123</v>
      </c>
      <c r="M34" s="97">
        <f>M32+M29+M18-1</f>
        <v>1016575.5109415349</v>
      </c>
      <c r="N34" s="83"/>
      <c r="O34" s="41">
        <f>M34-'BS'!F56</f>
        <v>-0.3637886552605778</v>
      </c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</row>
    <row r="35" spans="4:36" ht="12.75">
      <c r="D35" s="41"/>
      <c r="E35" s="41"/>
      <c r="F35" s="131"/>
      <c r="G35" s="41"/>
      <c r="H35" s="41"/>
      <c r="I35" s="41"/>
      <c r="J35" s="41"/>
      <c r="K35" s="1"/>
      <c r="L35" s="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</row>
    <row r="36" spans="1:36" ht="12.75">
      <c r="A36" s="115"/>
      <c r="D36" s="41"/>
      <c r="E36" s="41"/>
      <c r="F36" s="13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</row>
    <row r="37" spans="1:36" ht="12.75">
      <c r="A37" s="95" t="s">
        <v>240</v>
      </c>
      <c r="D37" s="41"/>
      <c r="E37" s="41"/>
      <c r="F37" s="13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</row>
    <row r="38" spans="1:36" ht="12.75">
      <c r="A38" s="95"/>
      <c r="D38" s="41"/>
      <c r="E38" s="41"/>
      <c r="F38" s="13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</row>
    <row r="39" spans="1:36" ht="12.75">
      <c r="A39" s="45" t="s">
        <v>162</v>
      </c>
      <c r="D39" s="41"/>
      <c r="E39" s="41"/>
      <c r="F39" s="13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</row>
    <row r="40" spans="1:36" ht="12.75">
      <c r="A40" s="45" t="s">
        <v>196</v>
      </c>
      <c r="D40" s="41">
        <v>693334</v>
      </c>
      <c r="E40" s="41">
        <f>54489</f>
        <v>54489</v>
      </c>
      <c r="F40" s="131">
        <f>15440</f>
        <v>15440</v>
      </c>
      <c r="G40" s="41">
        <v>1200</v>
      </c>
      <c r="H40" s="41">
        <f>-2078</f>
        <v>-2078</v>
      </c>
      <c r="I40" s="41">
        <f>-4887</f>
        <v>-4887</v>
      </c>
      <c r="J40" s="41">
        <f>176141</f>
        <v>176141</v>
      </c>
      <c r="K40" s="41">
        <f>SUM(D40:J40)</f>
        <v>933639</v>
      </c>
      <c r="L40" s="41">
        <f>7784</f>
        <v>7784</v>
      </c>
      <c r="M40" s="41">
        <f>L40+K40</f>
        <v>941423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</row>
    <row r="41" spans="4:36" ht="12.75">
      <c r="D41" s="41"/>
      <c r="E41" s="41"/>
      <c r="F41" s="13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</row>
    <row r="42" spans="1:36" ht="12.75">
      <c r="A42" s="45" t="s">
        <v>197</v>
      </c>
      <c r="D42" s="41"/>
      <c r="E42" s="41"/>
      <c r="F42" s="13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</row>
    <row r="43" spans="1:36" ht="12.75">
      <c r="A43" s="75" t="s">
        <v>198</v>
      </c>
      <c r="D43" s="99">
        <v>0</v>
      </c>
      <c r="E43" s="99">
        <v>0</v>
      </c>
      <c r="F43" s="129">
        <v>0</v>
      </c>
      <c r="G43" s="99">
        <v>0</v>
      </c>
      <c r="H43" s="99">
        <v>0</v>
      </c>
      <c r="I43" s="99">
        <v>0</v>
      </c>
      <c r="J43" s="43">
        <f>8140</f>
        <v>8140</v>
      </c>
      <c r="K43" s="43">
        <f>J43</f>
        <v>8140</v>
      </c>
      <c r="L43" s="99">
        <v>0</v>
      </c>
      <c r="M43" s="43">
        <f>K43</f>
        <v>8140</v>
      </c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</row>
    <row r="44" spans="1:36" ht="12.75">
      <c r="A44" s="75"/>
      <c r="D44" s="41"/>
      <c r="E44" s="41"/>
      <c r="F44" s="13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</row>
    <row r="45" spans="1:36" ht="12.75">
      <c r="A45" s="75" t="s">
        <v>199</v>
      </c>
      <c r="D45" s="41">
        <f aca="true" t="shared" si="1" ref="D45:I45">D40</f>
        <v>693334</v>
      </c>
      <c r="E45" s="41">
        <f t="shared" si="1"/>
        <v>54489</v>
      </c>
      <c r="F45" s="131">
        <f t="shared" si="1"/>
        <v>15440</v>
      </c>
      <c r="G45" s="41">
        <f t="shared" si="1"/>
        <v>1200</v>
      </c>
      <c r="H45" s="41">
        <f t="shared" si="1"/>
        <v>-2078</v>
      </c>
      <c r="I45" s="41">
        <f t="shared" si="1"/>
        <v>-4887</v>
      </c>
      <c r="J45" s="41">
        <f>J43+J40</f>
        <v>184281</v>
      </c>
      <c r="K45" s="41">
        <f>K43+K40</f>
        <v>941779</v>
      </c>
      <c r="L45" s="41">
        <f>L40</f>
        <v>7784</v>
      </c>
      <c r="M45" s="41">
        <f>M43+M40</f>
        <v>949563</v>
      </c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</row>
    <row r="46" spans="4:36" ht="12.75">
      <c r="D46" s="41"/>
      <c r="E46" s="41"/>
      <c r="F46" s="13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</row>
    <row r="47" spans="1:36" ht="12.75">
      <c r="A47" s="114" t="s">
        <v>134</v>
      </c>
      <c r="D47" s="41"/>
      <c r="E47" s="41"/>
      <c r="F47" s="13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</row>
    <row r="48" spans="1:36" ht="12.75">
      <c r="A48" t="s">
        <v>106</v>
      </c>
      <c r="D48" s="41">
        <v>0</v>
      </c>
      <c r="E48" s="41">
        <v>0</v>
      </c>
      <c r="F48" s="131">
        <v>0</v>
      </c>
      <c r="G48" s="41">
        <v>0</v>
      </c>
      <c r="H48" s="41">
        <v>0</v>
      </c>
      <c r="I48" s="41">
        <f>-2145</f>
        <v>-2145</v>
      </c>
      <c r="J48" s="41">
        <v>0</v>
      </c>
      <c r="K48" s="41">
        <f>SUM(D48:J48)</f>
        <v>-2145</v>
      </c>
      <c r="L48" s="41">
        <v>0</v>
      </c>
      <c r="M48" s="41">
        <f>L48+K48</f>
        <v>-2145</v>
      </c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</row>
    <row r="49" spans="4:36" ht="12.75">
      <c r="D49" s="41"/>
      <c r="E49" s="41"/>
      <c r="F49" s="13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</row>
    <row r="50" spans="1:36" ht="12.75">
      <c r="A50" t="s">
        <v>243</v>
      </c>
      <c r="D50" s="41"/>
      <c r="E50" s="41"/>
      <c r="F50" s="13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</row>
    <row r="51" spans="1:36" ht="12.75">
      <c r="A51" t="s">
        <v>244</v>
      </c>
      <c r="D51" s="41">
        <v>0</v>
      </c>
      <c r="E51" s="41">
        <v>0</v>
      </c>
      <c r="F51" s="131">
        <v>0</v>
      </c>
      <c r="G51" s="41">
        <v>0</v>
      </c>
      <c r="H51" s="41">
        <v>0</v>
      </c>
      <c r="I51" s="41">
        <f>0</f>
        <v>0</v>
      </c>
      <c r="J51" s="41">
        <v>0</v>
      </c>
      <c r="K51" s="41">
        <f>SUM(D51:J51)</f>
        <v>0</v>
      </c>
      <c r="L51" s="41">
        <v>45</v>
      </c>
      <c r="M51" s="41">
        <f>L51+K51</f>
        <v>45</v>
      </c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</row>
    <row r="52" spans="4:36" ht="12.75">
      <c r="D52" s="41"/>
      <c r="E52" s="41"/>
      <c r="F52" s="13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</row>
    <row r="53" spans="1:36" ht="12.75">
      <c r="A53" t="s">
        <v>242</v>
      </c>
      <c r="D53" s="41"/>
      <c r="E53" s="41"/>
      <c r="F53" s="13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</row>
    <row r="54" spans="1:36" ht="12.75">
      <c r="A54" t="s">
        <v>250</v>
      </c>
      <c r="D54" s="41">
        <v>0</v>
      </c>
      <c r="E54" s="41">
        <f>-6738</f>
        <v>-6738</v>
      </c>
      <c r="F54" s="131">
        <v>0</v>
      </c>
      <c r="G54" s="41">
        <v>0</v>
      </c>
      <c r="H54" s="41">
        <v>0</v>
      </c>
      <c r="I54" s="41">
        <f>-E54</f>
        <v>6738</v>
      </c>
      <c r="J54" s="41">
        <v>0</v>
      </c>
      <c r="K54" s="41">
        <f>SUM(D54:J54)</f>
        <v>0</v>
      </c>
      <c r="L54" s="41">
        <v>0</v>
      </c>
      <c r="M54" s="41">
        <f>L54+K54</f>
        <v>0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</row>
    <row r="55" spans="4:36" ht="12.75">
      <c r="D55" s="112"/>
      <c r="E55" s="112"/>
      <c r="F55" s="132"/>
      <c r="G55" s="112"/>
      <c r="H55" s="112"/>
      <c r="I55" s="112"/>
      <c r="J55" s="112"/>
      <c r="K55" s="112"/>
      <c r="L55" s="112"/>
      <c r="M55" s="112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</row>
    <row r="56" spans="1:36" ht="12.75">
      <c r="A56" s="101" t="s">
        <v>135</v>
      </c>
      <c r="D56" s="43">
        <f>SUM(D47:D54)</f>
        <v>0</v>
      </c>
      <c r="E56" s="43">
        <f aca="true" t="shared" si="2" ref="E56:M56">SUM(E47:E54)</f>
        <v>-6738</v>
      </c>
      <c r="F56" s="43">
        <f t="shared" si="2"/>
        <v>0</v>
      </c>
      <c r="G56" s="43">
        <f t="shared" si="2"/>
        <v>0</v>
      </c>
      <c r="H56" s="43">
        <f t="shared" si="2"/>
        <v>0</v>
      </c>
      <c r="I56" s="43">
        <f t="shared" si="2"/>
        <v>4593</v>
      </c>
      <c r="J56" s="43">
        <f t="shared" si="2"/>
        <v>0</v>
      </c>
      <c r="K56" s="43">
        <f t="shared" si="2"/>
        <v>-2145</v>
      </c>
      <c r="L56" s="43">
        <f t="shared" si="2"/>
        <v>45</v>
      </c>
      <c r="M56" s="43">
        <f t="shared" si="2"/>
        <v>-2100</v>
      </c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</row>
    <row r="57" spans="4:36" ht="12.75">
      <c r="D57" s="41"/>
      <c r="E57" s="41"/>
      <c r="F57" s="13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</row>
    <row r="58" spans="1:36" ht="12.75">
      <c r="A58" s="102" t="s">
        <v>124</v>
      </c>
      <c r="D58" s="41"/>
      <c r="E58" s="41"/>
      <c r="F58" s="13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</row>
    <row r="59" spans="1:36" ht="12.75">
      <c r="A59" s="102" t="s">
        <v>177</v>
      </c>
      <c r="D59" s="41">
        <v>0</v>
      </c>
      <c r="E59" s="41">
        <v>0</v>
      </c>
      <c r="F59" s="131">
        <f>13901</f>
        <v>13901</v>
      </c>
      <c r="G59" s="41">
        <v>0</v>
      </c>
      <c r="H59" s="41">
        <f>952</f>
        <v>952</v>
      </c>
      <c r="I59" s="41">
        <v>0</v>
      </c>
      <c r="J59" s="41">
        <f>'P&amp;L'!J57</f>
        <v>26631</v>
      </c>
      <c r="K59" s="41">
        <f>J59+H59+F59</f>
        <v>41484</v>
      </c>
      <c r="L59" s="41">
        <f>'CI'!J34</f>
        <v>-19</v>
      </c>
      <c r="M59" s="41">
        <f>L59+K59</f>
        <v>41465</v>
      </c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4:36" ht="12.75">
      <c r="D60" s="41"/>
      <c r="E60" s="41"/>
      <c r="F60" s="13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1:36" ht="13.5" thickBot="1">
      <c r="A61" s="45" t="s">
        <v>241</v>
      </c>
      <c r="D61" s="44">
        <f aca="true" t="shared" si="3" ref="D61:I61">D59+D56+D40</f>
        <v>693334</v>
      </c>
      <c r="E61" s="44">
        <f t="shared" si="3"/>
        <v>47751</v>
      </c>
      <c r="F61" s="133">
        <f t="shared" si="3"/>
        <v>29341</v>
      </c>
      <c r="G61" s="44">
        <f t="shared" si="3"/>
        <v>1200</v>
      </c>
      <c r="H61" s="44">
        <f t="shared" si="3"/>
        <v>-1126</v>
      </c>
      <c r="I61" s="44">
        <f t="shared" si="3"/>
        <v>-294</v>
      </c>
      <c r="J61" s="44">
        <f>J59+J56+J45</f>
        <v>210912</v>
      </c>
      <c r="K61" s="44">
        <f>K59+K56+K45</f>
        <v>981118</v>
      </c>
      <c r="L61" s="44">
        <f>L59+L56+L40</f>
        <v>7810</v>
      </c>
      <c r="M61" s="44">
        <f>M59+M56+M45</f>
        <v>988928</v>
      </c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4:36" ht="12.75">
      <c r="D62" s="41"/>
      <c r="E62" s="41"/>
      <c r="F62" s="41"/>
      <c r="G62" s="41"/>
      <c r="H62" s="41"/>
      <c r="I62" s="41"/>
      <c r="J62" s="41"/>
      <c r="K62" s="42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4:36" ht="12.75"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4:36" ht="12.75"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1:36" ht="12.75">
      <c r="A65" s="224" t="s">
        <v>149</v>
      </c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</row>
    <row r="66" spans="1:36" ht="12.75">
      <c r="A66" s="224" t="s">
        <v>178</v>
      </c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</row>
    <row r="67" spans="4:36" ht="12.7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4:36" ht="12.75"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</row>
    <row r="69" spans="4:36" ht="12.7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</row>
    <row r="70" spans="4:36" ht="12.75"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</row>
    <row r="71" spans="4:36" ht="12.75">
      <c r="D71" s="41"/>
      <c r="E71" s="41"/>
      <c r="F71" s="41"/>
      <c r="G71" s="41"/>
      <c r="H71" s="41"/>
      <c r="I71" s="41"/>
      <c r="J71" s="41"/>
      <c r="K71" s="41"/>
      <c r="L71" s="14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</row>
    <row r="72" spans="4:36" ht="12.75"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</row>
    <row r="73" spans="4:36" ht="12.75"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</row>
    <row r="74" spans="4:36" ht="12.75"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</row>
    <row r="75" spans="4:36" ht="12.75"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</row>
    <row r="76" spans="4:36" ht="12.75"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</row>
    <row r="77" spans="4:36" ht="12.75"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</row>
    <row r="78" spans="4:36" ht="12.75"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</row>
    <row r="79" spans="4:36" ht="12.75"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</row>
    <row r="80" spans="4:36" ht="12.75"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</row>
    <row r="81" spans="4:36" ht="12.75"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</row>
    <row r="82" spans="4:36" ht="12.75"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</row>
    <row r="83" spans="4:36" ht="12.75"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</row>
    <row r="84" spans="4:36" ht="12.75"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</row>
    <row r="85" spans="4:36" ht="12.75"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</row>
    <row r="86" spans="4:36" ht="12.75"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</row>
    <row r="87" spans="4:36" ht="12.75"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</row>
    <row r="88" spans="4:36" ht="12.75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</row>
    <row r="89" spans="4:36" ht="12.75"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</row>
    <row r="90" spans="4:36" ht="12.75"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</row>
    <row r="91" spans="4:36" ht="12.75"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</row>
    <row r="92" spans="4:36" ht="12.75"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</row>
    <row r="93" spans="4:36" ht="12.75"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</row>
    <row r="94" spans="4:36" ht="12.75"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</row>
    <row r="95" spans="4:36" ht="12.75"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</row>
    <row r="96" spans="4:36" ht="12.75"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</row>
    <row r="97" spans="4:36" ht="12.75"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</row>
    <row r="98" spans="4:36" ht="12.75"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</row>
    <row r="99" spans="4:36" ht="12.75"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</row>
    <row r="100" spans="4:36" ht="12.75"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</row>
    <row r="101" spans="4:36" ht="12.75"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</row>
    <row r="102" spans="4:36" ht="12.75"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</row>
    <row r="103" spans="4:36" ht="12.75"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</row>
    <row r="104" spans="4:36" ht="12.75"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</row>
    <row r="105" spans="4:36" ht="12.75"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</row>
    <row r="106" spans="4:36" ht="12.75"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</row>
    <row r="107" spans="4:36" ht="12.75"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</row>
    <row r="108" spans="4:36" ht="12.75"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</row>
    <row r="109" spans="4:36" ht="12.75"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</row>
    <row r="110" spans="4:36" ht="12.75"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</row>
    <row r="111" spans="4:36" ht="12.75"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</row>
    <row r="112" spans="4:36" ht="12.75"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</row>
    <row r="113" spans="4:36" ht="12.75"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</row>
    <row r="114" spans="4:36" ht="12.75"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</row>
    <row r="115" spans="4:36" ht="12.75"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</row>
    <row r="116" spans="4:36" ht="12.75"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</row>
    <row r="117" spans="4:36" ht="12.75"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</row>
    <row r="118" spans="4:36" ht="12.75"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</row>
    <row r="119" spans="4:36" ht="12.75"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</row>
    <row r="120" spans="4:36" ht="12.75"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</row>
    <row r="121" spans="4:36" ht="12.75"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</row>
    <row r="122" spans="4:36" ht="12.75"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</row>
    <row r="123" spans="4:36" ht="12.75"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</row>
    <row r="124" spans="4:36" ht="12.75"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</row>
    <row r="125" spans="4:36" ht="12.75"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</row>
    <row r="126" spans="4:36" ht="12.75"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</row>
    <row r="127" spans="4:36" ht="12.75"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</row>
    <row r="128" spans="4:36" ht="12.75"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</row>
    <row r="129" spans="4:36" ht="12.75"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</row>
    <row r="130" spans="4:36" ht="12.75"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</row>
    <row r="131" spans="4:36" ht="12.75"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</row>
    <row r="132" spans="4:36" ht="12.75"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</row>
    <row r="133" spans="4:36" ht="12.75"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</row>
    <row r="134" spans="4:36" ht="12.75"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</row>
    <row r="135" spans="4:36" ht="12.75"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</row>
    <row r="136" spans="4:36" ht="12.75"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</row>
    <row r="137" spans="4:36" ht="12.75"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</row>
    <row r="138" spans="4:36" ht="12.75"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</row>
    <row r="139" spans="4:36" ht="12.75"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</row>
    <row r="140" spans="4:36" ht="12.75"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</row>
    <row r="141" spans="4:36" ht="12.75"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</row>
    <row r="142" spans="4:36" ht="12.75"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</row>
    <row r="143" spans="4:36" ht="12.75"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</row>
    <row r="144" spans="4:36" ht="12.75"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</row>
    <row r="145" spans="4:36" ht="12.75"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</row>
    <row r="146" spans="4:36" ht="12.75"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</row>
    <row r="147" spans="4:36" ht="12.75"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</row>
    <row r="148" spans="4:36" ht="12.75"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</row>
    <row r="149" spans="4:36" ht="12.75"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</row>
    <row r="150" spans="4:36" ht="12.75"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</row>
    <row r="151" spans="4:36" ht="12.75"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</row>
    <row r="152" spans="4:36" ht="12.75"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</row>
    <row r="153" spans="4:36" ht="12.75"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</row>
    <row r="154" spans="4:36" ht="12.75"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</row>
    <row r="155" spans="4:36" ht="12.75"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</row>
    <row r="156" spans="4:36" ht="12.75"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</row>
    <row r="157" spans="4:36" ht="12.75"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</row>
    <row r="158" spans="4:36" ht="12.75"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</row>
    <row r="159" spans="4:36" ht="12.75"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</row>
    <row r="160" spans="4:36" ht="12.75"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</row>
    <row r="161" spans="4:36" ht="12.75"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</row>
    <row r="162" spans="4:36" ht="12.75"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</row>
    <row r="163" spans="4:36" ht="12.75"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</row>
    <row r="164" spans="4:36" ht="12.75"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</row>
    <row r="165" spans="4:36" ht="12.75"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</row>
    <row r="166" spans="4:36" ht="12.75"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</row>
    <row r="167" spans="4:36" ht="12.75"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</row>
    <row r="168" spans="4:36" ht="12.75"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</row>
    <row r="169" spans="4:36" ht="12.75"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</row>
    <row r="170" spans="4:36" ht="12.75"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</row>
    <row r="171" spans="4:36" ht="12.75"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</row>
    <row r="172" spans="4:36" ht="12.75"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</row>
    <row r="173" spans="4:36" ht="12.75"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</row>
    <row r="174" spans="4:36" ht="12.75"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</row>
    <row r="175" spans="4:36" ht="12.75"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</row>
    <row r="176" spans="4:36" ht="12.75"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</row>
    <row r="177" spans="4:36" ht="12.75"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</row>
    <row r="178" spans="4:36" ht="12.75"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</row>
    <row r="179" spans="4:36" ht="12.75"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</row>
    <row r="180" spans="4:36" ht="12.75"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</row>
    <row r="181" spans="4:36" ht="12.75"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</row>
    <row r="182" spans="4:36" ht="12.75"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</row>
    <row r="183" spans="4:36" ht="12.75"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</row>
    <row r="184" spans="4:36" ht="12.75"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</row>
    <row r="185" spans="4:36" ht="12.75"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</row>
    <row r="186" spans="4:36" ht="12.75"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</row>
    <row r="187" spans="4:36" ht="12.75"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</row>
    <row r="188" spans="4:36" ht="12.75"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</row>
    <row r="189" spans="4:36" ht="12.75"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</row>
    <row r="190" spans="4:36" ht="12.75"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</row>
    <row r="191" spans="4:36" ht="12.75"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</row>
    <row r="192" spans="4:36" ht="12.75"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</row>
    <row r="193" spans="4:36" ht="12.75"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</row>
    <row r="194" spans="4:36" ht="12.75"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</row>
    <row r="195" spans="4:36" ht="12.75"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</row>
    <row r="196" spans="4:36" ht="12.75"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</row>
    <row r="197" spans="4:36" ht="12.75"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</row>
    <row r="198" spans="4:36" ht="12.75"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</row>
    <row r="199" spans="4:36" ht="12.75"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</row>
    <row r="200" spans="4:36" ht="12.75"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</row>
    <row r="201" spans="4:36" ht="12.75"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</row>
    <row r="202" spans="4:36" ht="12.75"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</row>
    <row r="203" spans="4:36" ht="12.75"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</row>
    <row r="204" spans="4:36" ht="12.75"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</row>
    <row r="205" spans="4:36" ht="12.75"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</row>
    <row r="206" spans="4:36" ht="12.75"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</row>
    <row r="207" spans="4:36" ht="12.75"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</row>
    <row r="208" spans="4:36" ht="12.75"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</row>
    <row r="209" spans="4:36" ht="12.75"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</row>
    <row r="210" spans="4:36" ht="12.75"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</row>
    <row r="211" spans="4:36" ht="12.75"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</row>
    <row r="212" spans="4:36" ht="12.75"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</row>
    <row r="213" spans="4:36" ht="12.75"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</row>
    <row r="214" spans="4:36" ht="12.75"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</row>
    <row r="215" spans="4:36" ht="12.75"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</row>
    <row r="216" spans="4:36" ht="12.75"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</row>
    <row r="217" spans="4:36" ht="12.75"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</row>
    <row r="218" spans="4:36" ht="12.75"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</row>
    <row r="219" spans="4:36" ht="12.75"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</row>
    <row r="220" spans="4:36" ht="12.75"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</row>
    <row r="221" spans="4:36" ht="12.75"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</row>
    <row r="222" spans="4:36" ht="12.75"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</row>
    <row r="223" spans="4:36" ht="12.75"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</row>
    <row r="224" spans="4:36" ht="12.75"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</row>
    <row r="225" spans="4:36" ht="12.75"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</row>
    <row r="226" spans="4:36" ht="12.75"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</row>
    <row r="227" spans="4:36" ht="12.75"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</row>
    <row r="228" spans="4:36" ht="12.75"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</row>
    <row r="229" spans="4:36" ht="12.75"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</row>
    <row r="230" spans="4:36" ht="12.75"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</row>
    <row r="231" spans="4:36" ht="12.75"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</row>
    <row r="232" spans="4:36" ht="12.75"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</row>
    <row r="233" spans="4:36" ht="12.75"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</row>
    <row r="234" spans="4:36" ht="12.75"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</row>
    <row r="235" spans="4:36" ht="12.75"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</row>
    <row r="236" spans="4:36" ht="12.75"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</row>
    <row r="237" spans="4:36" ht="12.75"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</row>
    <row r="238" spans="4:36" ht="12.75"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</row>
    <row r="239" spans="4:36" ht="12.75"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</row>
    <row r="240" spans="4:36" ht="12.75"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</row>
    <row r="241" spans="4:36" ht="12.75"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</row>
    <row r="242" spans="4:36" ht="12.75"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</row>
    <row r="243" spans="4:36" ht="12.75"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</row>
    <row r="244" spans="4:36" ht="12.75"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</row>
    <row r="245" spans="4:36" ht="12.75"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</row>
    <row r="246" spans="4:36" ht="12.75"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</row>
    <row r="247" spans="4:36" ht="12.75"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</row>
    <row r="248" spans="4:36" ht="12.75"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</row>
    <row r="249" spans="4:36" ht="12.75"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</row>
    <row r="250" spans="4:36" ht="12.75"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</row>
    <row r="251" spans="4:36" ht="12.75"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</row>
    <row r="252" spans="4:36" ht="12.75"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</row>
    <row r="253" spans="4:36" ht="12.75"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</row>
    <row r="254" spans="4:36" ht="12.75"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</row>
    <row r="255" spans="4:36" ht="12.75"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</row>
    <row r="256" spans="4:36" ht="12.75"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</row>
    <row r="257" spans="4:36" ht="12.75"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</row>
    <row r="258" spans="4:36" ht="12.75"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</row>
    <row r="259" spans="4:36" ht="12.75"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</row>
    <row r="260" spans="4:36" ht="12.75"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</row>
    <row r="261" spans="4:36" ht="12.75"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</row>
    <row r="262" spans="4:36" ht="12.75"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</row>
    <row r="263" spans="4:36" ht="12.75"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</row>
    <row r="264" spans="4:36" ht="12.75"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</row>
    <row r="265" spans="4:36" ht="12.75"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</row>
    <row r="266" spans="4:36" ht="12.75"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</row>
    <row r="267" spans="4:36" ht="12.75"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</row>
    <row r="268" spans="4:36" ht="12.75"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</row>
    <row r="269" spans="4:36" ht="12.75"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</row>
    <row r="270" spans="4:36" ht="12.75"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</row>
    <row r="271" spans="4:36" ht="12.75"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</row>
    <row r="272" spans="4:36" ht="12.75"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</row>
    <row r="273" spans="4:36" ht="12.75"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</row>
    <row r="274" spans="4:36" ht="12.75"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</row>
    <row r="275" spans="4:36" ht="12.75"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</row>
    <row r="276" spans="4:36" ht="12.75"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</row>
    <row r="277" spans="4:36" ht="12.75"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</row>
    <row r="278" spans="4:36" ht="12.75"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</row>
    <row r="279" spans="4:36" ht="12.75"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</row>
    <row r="280" spans="4:36" ht="12.75"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</row>
    <row r="281" spans="4:36" ht="12.75"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</row>
    <row r="282" spans="4:36" ht="12.75"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</row>
    <row r="283" spans="4:36" ht="12.75"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</row>
    <row r="284" spans="4:36" ht="12.75"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</row>
    <row r="285" spans="4:36" ht="12.75"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</row>
    <row r="286" spans="4:36" ht="12.75"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</row>
    <row r="287" spans="4:36" ht="12.75"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</row>
    <row r="288" spans="4:36" ht="12.75"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</row>
    <row r="289" spans="4:36" ht="12.75"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</row>
    <row r="290" spans="4:36" ht="12.75"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</row>
    <row r="291" spans="4:36" ht="12.75"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</row>
    <row r="292" spans="4:36" ht="12.75"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</row>
    <row r="293" spans="4:36" ht="12.75"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</row>
    <row r="294" spans="4:36" ht="12.75"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</row>
    <row r="295" spans="4:36" ht="12.75"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</row>
    <row r="296" spans="4:36" ht="12.75"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</row>
    <row r="297" spans="4:36" ht="12.75"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</row>
    <row r="298" spans="4:36" ht="12.75"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</row>
    <row r="299" spans="4:36" ht="12.75"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</row>
    <row r="300" spans="4:36" ht="12.75"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</row>
    <row r="301" spans="4:36" ht="12.75"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</row>
    <row r="302" spans="4:36" ht="12.75"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</row>
    <row r="303" spans="4:36" ht="12.75"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</row>
    <row r="304" spans="4:36" ht="12.75"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</row>
    <row r="305" spans="4:36" ht="12.75"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</row>
    <row r="306" spans="4:36" ht="12.75"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</row>
    <row r="307" spans="4:36" ht="12.75"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</row>
    <row r="308" spans="4:36" ht="12.75"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</row>
    <row r="309" spans="4:36" ht="12.75"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</row>
    <row r="310" spans="4:36" ht="12.75"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</row>
    <row r="311" spans="4:36" ht="12.75"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</row>
    <row r="312" spans="4:36" ht="12.75"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</row>
    <row r="313" spans="4:36" ht="12.75"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</row>
    <row r="314" spans="4:36" ht="12.75"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</row>
    <row r="315" spans="4:36" ht="12.75"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</row>
    <row r="316" spans="4:36" ht="12.75"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</row>
    <row r="317" spans="4:36" ht="12.75"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</row>
    <row r="318" spans="4:36" ht="12.75"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</row>
    <row r="319" spans="4:36" ht="12.75"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</row>
    <row r="320" spans="4:36" ht="12.75"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</row>
    <row r="321" spans="4:36" ht="12.75"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</row>
    <row r="322" spans="4:36" ht="12.75"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</row>
    <row r="323" spans="4:36" ht="12.75"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</row>
    <row r="324" spans="4:36" ht="12.75"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</row>
    <row r="325" spans="4:36" ht="12.75"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</row>
    <row r="326" spans="4:36" ht="12.75"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</row>
    <row r="327" spans="4:36" ht="12.75"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</row>
    <row r="328" spans="4:36" ht="12.75"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</row>
    <row r="329" spans="4:36" ht="12.75"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</row>
    <row r="330" spans="4:36" ht="12.75"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</row>
    <row r="331" spans="4:36" ht="12.75"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</row>
    <row r="332" spans="4:36" ht="12.75"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</row>
    <row r="333" spans="4:36" ht="12.75"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</row>
    <row r="334" spans="4:36" ht="12.75"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</row>
    <row r="335" spans="4:36" ht="12.75"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</row>
    <row r="336" spans="4:36" ht="12.75"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</row>
    <row r="337" spans="4:36" ht="12.75"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</row>
    <row r="338" spans="4:36" ht="12.75"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</row>
    <row r="339" spans="4:36" ht="12.75"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</row>
    <row r="340" spans="4:36" ht="12.75"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</row>
    <row r="341" spans="4:36" ht="12.75"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</row>
    <row r="342" spans="4:36" ht="12.75"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</row>
    <row r="343" spans="4:36" ht="12.75"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</row>
    <row r="344" spans="4:36" ht="12.75"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</row>
    <row r="345" spans="4:36" ht="12.75"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</row>
    <row r="346" spans="4:36" ht="12.75"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</row>
    <row r="347" spans="4:36" ht="12.75"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</row>
    <row r="348" spans="4:36" ht="12.75"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</row>
    <row r="349" spans="4:36" ht="12.75"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</row>
    <row r="350" spans="4:36" ht="12.75"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</row>
    <row r="351" spans="4:36" ht="12.75"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</row>
    <row r="352" spans="4:36" ht="12.75"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</row>
    <row r="353" spans="4:36" ht="12.75"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</row>
    <row r="354" spans="4:36" ht="12.75"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</row>
    <row r="355" spans="4:36" ht="12.75"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</row>
    <row r="356" spans="4:36" ht="12.75"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</row>
    <row r="357" spans="4:36" ht="12.75"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</row>
    <row r="358" spans="4:36" ht="12.75"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</row>
    <row r="359" spans="4:36" ht="12.75"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</row>
    <row r="360" spans="4:36" ht="12.75"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</row>
    <row r="361" spans="4:36" ht="12.75"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</row>
    <row r="362" spans="4:36" ht="12.75"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</row>
    <row r="363" spans="4:36" ht="12.75"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</row>
    <row r="364" spans="4:36" ht="12.75"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</row>
    <row r="365" spans="4:36" ht="12.75"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</row>
    <row r="366" spans="4:36" ht="12.75"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</row>
    <row r="367" spans="4:36" ht="12.75"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</row>
    <row r="368" spans="4:36" ht="12.75"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</row>
    <row r="369" spans="4:36" ht="12.75"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</row>
    <row r="370" spans="4:36" ht="12.75"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</row>
    <row r="371" spans="4:36" ht="12.75"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</row>
    <row r="372" spans="4:36" ht="12.75"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</row>
    <row r="373" spans="4:36" ht="12.75"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</row>
    <row r="374" spans="4:36" ht="12.75"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</row>
    <row r="375" spans="4:36" ht="12.75"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</row>
    <row r="376" spans="4:36" ht="12.75"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</row>
    <row r="377" spans="4:36" ht="12.75"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</row>
    <row r="378" spans="4:36" ht="12.75"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</row>
    <row r="379" spans="4:36" ht="12.75"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</row>
    <row r="380" spans="4:36" ht="12.75"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</row>
    <row r="381" spans="4:36" ht="12.75"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</row>
    <row r="382" spans="4:36" ht="12.75"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</row>
    <row r="383" spans="4:36" ht="12.75"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</row>
    <row r="384" spans="4:36" ht="12.75"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</row>
    <row r="385" spans="4:36" ht="12.75"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</row>
    <row r="386" spans="4:36" ht="12.75"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</row>
    <row r="387" spans="4:36" ht="12.75"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</row>
    <row r="388" spans="4:36" ht="12.75"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</row>
    <row r="389" spans="4:36" ht="12.75"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</row>
    <row r="390" spans="4:36" ht="12.75"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</row>
    <row r="391" spans="4:36" ht="12.75"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</row>
    <row r="392" spans="4:36" ht="12.75"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</row>
    <row r="393" spans="4:36" ht="12.75"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</row>
    <row r="394" spans="4:36" ht="12.75"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</row>
    <row r="395" spans="4:36" ht="12.75"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</row>
    <row r="396" spans="4:36" ht="12.75"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</row>
    <row r="397" spans="4:36" ht="12.75"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</row>
    <row r="398" spans="4:36" ht="12.75"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</row>
    <row r="399" spans="4:36" ht="12.75"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</row>
    <row r="400" spans="4:36" ht="12.75"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</row>
    <row r="401" spans="4:36" ht="12.75"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</row>
    <row r="402" spans="4:36" ht="12.75"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</row>
    <row r="403" spans="4:36" ht="12.75"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</row>
    <row r="404" spans="4:36" ht="12.75"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</row>
    <row r="405" spans="4:36" ht="12.75"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</row>
    <row r="406" spans="4:36" ht="12.75"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</row>
    <row r="407" spans="4:36" ht="12.75"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</row>
    <row r="408" spans="4:36" ht="12.75"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</row>
    <row r="409" spans="4:36" ht="12.75"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</row>
    <row r="410" spans="4:36" ht="12.75"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</row>
    <row r="411" spans="4:36" ht="12.75"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</row>
    <row r="412" spans="4:36" ht="12.75"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</row>
    <row r="413" spans="4:36" ht="12.75"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</row>
    <row r="414" spans="4:36" ht="12.75"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</row>
    <row r="415" spans="4:36" ht="12.75"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</row>
    <row r="416" spans="4:36" ht="12.75"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</row>
    <row r="417" spans="4:36" ht="12.75"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</row>
    <row r="418" spans="4:36" ht="12.75"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</row>
    <row r="419" spans="4:36" ht="12.75"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</row>
    <row r="420" spans="4:36" ht="12.75"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</row>
    <row r="421" spans="4:36" ht="12.75"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</row>
    <row r="422" spans="4:36" ht="12.75"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</row>
    <row r="423" spans="4:36" ht="12.75"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</row>
    <row r="424" spans="4:36" ht="12.75"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</row>
    <row r="425" spans="4:36" ht="12.75"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</row>
    <row r="426" spans="4:36" ht="12.75"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</row>
    <row r="427" spans="4:36" ht="12.75"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</row>
    <row r="428" spans="4:36" ht="12.75"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</row>
    <row r="429" spans="4:36" ht="12.75"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</row>
    <row r="430" spans="4:36" ht="12.75"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</row>
    <row r="431" spans="4:36" ht="12.75"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</row>
    <row r="432" spans="4:36" ht="12.75"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</row>
    <row r="433" spans="4:36" ht="12.75"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</row>
    <row r="434" spans="4:36" ht="12.75"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</row>
    <row r="435" spans="4:36" ht="12.75"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</row>
    <row r="436" spans="4:36" ht="12.75"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</row>
    <row r="437" spans="4:36" ht="12.75"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</row>
    <row r="438" spans="4:36" ht="12.75"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</row>
    <row r="439" spans="4:36" ht="12.75"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</row>
  </sheetData>
  <mergeCells count="6">
    <mergeCell ref="A66:M66"/>
    <mergeCell ref="A65:M65"/>
    <mergeCell ref="A1:K1"/>
    <mergeCell ref="A2:K2"/>
    <mergeCell ref="A3:K3"/>
    <mergeCell ref="E10:H10"/>
  </mergeCells>
  <printOptions/>
  <pageMargins left="0.53" right="0" top="0.5" bottom="0.25" header="0.5" footer="0.5"/>
  <pageSetup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="80" zoomScaleNormal="80" workbookViewId="0" topLeftCell="A1">
      <selection activeCell="H11" sqref="H11:H36"/>
    </sheetView>
  </sheetViews>
  <sheetFormatPr defaultColWidth="9.140625" defaultRowHeight="12.75"/>
  <cols>
    <col min="1" max="1" width="36.7109375" style="0" customWidth="1"/>
    <col min="2" max="2" width="12.7109375" style="0" customWidth="1"/>
    <col min="3" max="3" width="3.7109375" style="0" customWidth="1"/>
    <col min="4" max="4" width="18.7109375" style="0" customWidth="1"/>
    <col min="5" max="5" width="3.7109375" style="0" customWidth="1"/>
    <col min="6" max="6" width="32.140625" style="0" customWidth="1"/>
    <col min="7" max="7" width="3.7109375" style="0" customWidth="1"/>
    <col min="8" max="8" width="18.7109375" style="0" customWidth="1"/>
    <col min="9" max="9" width="3.7109375" style="0" customWidth="1"/>
    <col min="10" max="10" width="32.140625" style="0" customWidth="1"/>
    <col min="12" max="16" width="15.7109375" style="0" customWidth="1"/>
  </cols>
  <sheetData>
    <row r="1" spans="1:10" ht="15.75">
      <c r="A1" s="229" t="s">
        <v>3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227" t="s">
        <v>18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ht="12.75">
      <c r="A3" s="227" t="s">
        <v>19</v>
      </c>
      <c r="B3" s="227"/>
      <c r="C3" s="227"/>
      <c r="D3" s="227"/>
      <c r="E3" s="227"/>
      <c r="F3" s="227"/>
      <c r="G3" s="227"/>
      <c r="H3" s="227"/>
      <c r="I3" s="227"/>
      <c r="J3" s="227"/>
    </row>
    <row r="4" ht="12.75">
      <c r="J4" s="120"/>
    </row>
    <row r="5" spans="1:10" ht="13.5" thickBot="1">
      <c r="A5" s="47" t="s">
        <v>235</v>
      </c>
      <c r="B5" s="19"/>
      <c r="C5" s="19"/>
      <c r="D5" s="19"/>
      <c r="E5" s="19"/>
      <c r="F5" s="19"/>
      <c r="G5" s="19"/>
      <c r="H5" s="31"/>
      <c r="I5" s="31"/>
      <c r="J5" s="19"/>
    </row>
    <row r="6" spans="1:9" ht="12.75">
      <c r="A6" s="4"/>
      <c r="H6" s="4"/>
      <c r="I6" s="4"/>
    </row>
    <row r="7" spans="1:9" ht="12.75">
      <c r="A7" s="25" t="s">
        <v>150</v>
      </c>
      <c r="B7" s="4"/>
      <c r="C7" s="4"/>
      <c r="D7" s="4"/>
      <c r="E7" s="4"/>
      <c r="F7" s="4"/>
      <c r="G7" s="4"/>
      <c r="H7" s="4"/>
      <c r="I7" s="4"/>
    </row>
    <row r="8" spans="1:10" ht="12.75">
      <c r="A8" s="25"/>
      <c r="B8" s="4"/>
      <c r="C8" s="4"/>
      <c r="D8" s="4"/>
      <c r="E8" s="4"/>
      <c r="F8" s="20"/>
      <c r="G8" s="20"/>
      <c r="H8" s="20"/>
      <c r="I8" s="20"/>
      <c r="J8" s="56"/>
    </row>
    <row r="9" spans="1:10" ht="12.75">
      <c r="A9" s="4"/>
      <c r="B9" s="4"/>
      <c r="C9" s="4"/>
      <c r="D9" s="4"/>
      <c r="E9" s="4"/>
      <c r="F9" s="115"/>
      <c r="G9" s="4"/>
      <c r="H9" s="4"/>
      <c r="I9" s="4"/>
      <c r="J9" s="115"/>
    </row>
    <row r="10" spans="1:10" ht="12.75">
      <c r="A10" s="4"/>
      <c r="B10" s="4"/>
      <c r="C10" s="4"/>
      <c r="D10" s="230" t="s">
        <v>45</v>
      </c>
      <c r="E10" s="231"/>
      <c r="F10" s="232"/>
      <c r="G10" s="73"/>
      <c r="H10" s="233" t="s">
        <v>8</v>
      </c>
      <c r="I10" s="234"/>
      <c r="J10" s="235"/>
    </row>
    <row r="11" spans="1:10" ht="12.75">
      <c r="A11" s="4"/>
      <c r="B11" s="4"/>
      <c r="C11" s="4"/>
      <c r="D11" s="195" t="s">
        <v>172</v>
      </c>
      <c r="E11" s="136"/>
      <c r="F11" s="137" t="s">
        <v>138</v>
      </c>
      <c r="G11" s="85"/>
      <c r="H11" s="195" t="str">
        <f>D11</f>
        <v>FY 2013</v>
      </c>
      <c r="I11" s="136"/>
      <c r="J11" s="137" t="str">
        <f>F11</f>
        <v>FY 2012</v>
      </c>
    </row>
    <row r="12" spans="1:12" ht="12.75">
      <c r="A12" s="4"/>
      <c r="B12" s="4"/>
      <c r="C12" s="4"/>
      <c r="D12" s="196" t="s">
        <v>94</v>
      </c>
      <c r="E12" s="136"/>
      <c r="F12" s="137" t="s">
        <v>229</v>
      </c>
      <c r="G12" s="85"/>
      <c r="H12" s="196" t="s">
        <v>173</v>
      </c>
      <c r="I12" s="136"/>
      <c r="J12" s="135" t="s">
        <v>229</v>
      </c>
      <c r="L12" s="17"/>
    </row>
    <row r="13" spans="1:12" ht="12.75">
      <c r="A13" s="4"/>
      <c r="B13" s="4"/>
      <c r="C13" s="4"/>
      <c r="D13" s="196" t="s">
        <v>16</v>
      </c>
      <c r="E13" s="136"/>
      <c r="F13" s="135" t="s">
        <v>96</v>
      </c>
      <c r="G13" s="85"/>
      <c r="H13" s="195" t="s">
        <v>15</v>
      </c>
      <c r="I13" s="136"/>
      <c r="J13" s="135" t="s">
        <v>221</v>
      </c>
      <c r="L13" s="17"/>
    </row>
    <row r="14" spans="1:12" ht="12.75">
      <c r="A14" s="4"/>
      <c r="B14" s="4"/>
      <c r="C14" s="4"/>
      <c r="D14" s="197">
        <v>41364</v>
      </c>
      <c r="E14" s="65"/>
      <c r="F14" s="138">
        <v>40999</v>
      </c>
      <c r="G14" s="139"/>
      <c r="H14" s="197">
        <f>D14</f>
        <v>41364</v>
      </c>
      <c r="I14" s="140"/>
      <c r="J14" s="141">
        <f>F14</f>
        <v>40999</v>
      </c>
      <c r="L14" s="118"/>
    </row>
    <row r="15" spans="1:12" ht="12.75">
      <c r="A15" s="4"/>
      <c r="B15" s="4"/>
      <c r="C15" s="4"/>
      <c r="D15" s="197"/>
      <c r="E15" s="65"/>
      <c r="F15" s="141" t="s">
        <v>187</v>
      </c>
      <c r="G15" s="139"/>
      <c r="H15" s="197"/>
      <c r="I15" s="140"/>
      <c r="J15" s="141" t="s">
        <v>187</v>
      </c>
      <c r="L15" s="118"/>
    </row>
    <row r="16" spans="1:12" ht="12.75">
      <c r="A16" s="4"/>
      <c r="B16" s="20"/>
      <c r="C16" s="4"/>
      <c r="D16" s="195" t="s">
        <v>5</v>
      </c>
      <c r="E16" s="65"/>
      <c r="F16" s="137" t="s">
        <v>5</v>
      </c>
      <c r="G16" s="85"/>
      <c r="H16" s="195" t="s">
        <v>6</v>
      </c>
      <c r="I16" s="136"/>
      <c r="J16" s="137" t="s">
        <v>6</v>
      </c>
      <c r="L16" s="17"/>
    </row>
    <row r="17" spans="1:13" ht="12.75">
      <c r="A17" s="4"/>
      <c r="B17" s="20"/>
      <c r="C17" s="4"/>
      <c r="D17" s="195"/>
      <c r="E17" s="65"/>
      <c r="F17" s="137"/>
      <c r="G17" s="85"/>
      <c r="H17" s="195"/>
      <c r="I17" s="136"/>
      <c r="J17" s="137"/>
      <c r="L17" s="118"/>
      <c r="M17" s="118"/>
    </row>
    <row r="18" spans="1:13" ht="12.75">
      <c r="A18" s="40"/>
      <c r="B18" s="20"/>
      <c r="C18" s="4"/>
      <c r="D18" s="195"/>
      <c r="E18" s="65"/>
      <c r="F18" s="137"/>
      <c r="G18" s="85"/>
      <c r="H18" s="195"/>
      <c r="I18" s="136"/>
      <c r="J18" s="137"/>
      <c r="L18" s="17"/>
      <c r="M18" s="17"/>
    </row>
    <row r="19" spans="1:13" ht="12.75">
      <c r="A19" s="40" t="str">
        <f>'P&amp;L'!A49</f>
        <v>Profit for the quarter/period</v>
      </c>
      <c r="B19" s="41"/>
      <c r="C19" s="41"/>
      <c r="D19" s="206">
        <f>'P&amp;L'!D49</f>
        <v>9252.96772998052</v>
      </c>
      <c r="E19" s="124"/>
      <c r="F19" s="145">
        <f>'P&amp;L'!F49</f>
        <v>24649</v>
      </c>
      <c r="G19" s="83"/>
      <c r="H19" s="206">
        <f>'P&amp;L'!H49</f>
        <v>69795.96772998052</v>
      </c>
      <c r="I19" s="124"/>
      <c r="J19" s="146">
        <f>'P&amp;L'!J49</f>
        <v>26586</v>
      </c>
      <c r="L19" s="113"/>
      <c r="M19" s="113"/>
    </row>
    <row r="20" spans="1:13" ht="12.75">
      <c r="A20" s="40"/>
      <c r="B20" s="41"/>
      <c r="C20" s="41"/>
      <c r="D20" s="206"/>
      <c r="E20" s="124"/>
      <c r="F20" s="145"/>
      <c r="G20" s="83"/>
      <c r="H20" s="206"/>
      <c r="I20" s="124"/>
      <c r="J20" s="146"/>
      <c r="L20" s="113"/>
      <c r="M20" s="113"/>
    </row>
    <row r="21" spans="1:13" ht="12.75">
      <c r="A21" s="122" t="s">
        <v>171</v>
      </c>
      <c r="B21" s="41"/>
      <c r="C21" s="41"/>
      <c r="D21" s="206"/>
      <c r="E21" s="124"/>
      <c r="F21" s="145"/>
      <c r="G21" s="83"/>
      <c r="H21" s="206"/>
      <c r="I21" s="124"/>
      <c r="J21" s="146"/>
      <c r="L21" s="17"/>
      <c r="M21" s="17"/>
    </row>
    <row r="22" spans="1:13" ht="12.75">
      <c r="A22" s="40" t="s">
        <v>222</v>
      </c>
      <c r="B22" s="41"/>
      <c r="C22" s="41"/>
      <c r="D22" s="206"/>
      <c r="E22" s="124"/>
      <c r="F22" s="145"/>
      <c r="G22" s="83"/>
      <c r="H22" s="206"/>
      <c r="I22" s="124"/>
      <c r="J22" s="148"/>
      <c r="L22" s="17"/>
      <c r="M22" s="17"/>
    </row>
    <row r="23" spans="1:14" ht="12.75">
      <c r="A23" s="40" t="s">
        <v>140</v>
      </c>
      <c r="B23" s="41"/>
      <c r="C23" s="41"/>
      <c r="D23" s="206">
        <f>H23+8164+442</f>
        <v>-1103</v>
      </c>
      <c r="E23" s="124"/>
      <c r="F23" s="145">
        <f>6840</f>
        <v>6840</v>
      </c>
      <c r="G23" s="83"/>
      <c r="H23" s="206">
        <f>-9709</f>
        <v>-9709</v>
      </c>
      <c r="I23" s="124"/>
      <c r="J23" s="148">
        <f>7061+F23</f>
        <v>13901</v>
      </c>
      <c r="L23" s="113"/>
      <c r="M23" s="113"/>
      <c r="N23" s="116"/>
    </row>
    <row r="24" spans="1:14" ht="12.75">
      <c r="A24" s="40" t="s">
        <v>139</v>
      </c>
      <c r="B24" s="20"/>
      <c r="C24" s="41"/>
      <c r="D24" s="206">
        <f>2657+H24-3569</f>
        <v>700.1453115543482</v>
      </c>
      <c r="E24" s="124"/>
      <c r="F24" s="149">
        <f>-1800</f>
        <v>-1800</v>
      </c>
      <c r="G24" s="83"/>
      <c r="H24" s="206">
        <f>'S.Equity'!H32-119+6</f>
        <v>1612.1453115543477</v>
      </c>
      <c r="I24" s="124"/>
      <c r="J24" s="149">
        <f>F24+2778</f>
        <v>978</v>
      </c>
      <c r="L24" s="113"/>
      <c r="M24" s="113"/>
      <c r="N24" s="116"/>
    </row>
    <row r="25" spans="1:14" ht="12.75">
      <c r="A25" s="40"/>
      <c r="B25" s="20"/>
      <c r="C25" s="41"/>
      <c r="D25" s="209"/>
      <c r="E25" s="124"/>
      <c r="F25" s="171"/>
      <c r="G25" s="83"/>
      <c r="H25" s="209"/>
      <c r="I25" s="124"/>
      <c r="J25" s="171"/>
      <c r="L25" s="113"/>
      <c r="M25" s="113"/>
      <c r="N25" s="116"/>
    </row>
    <row r="26" spans="1:14" ht="12.75">
      <c r="A26" s="40" t="s">
        <v>214</v>
      </c>
      <c r="B26" s="20"/>
      <c r="C26" s="41"/>
      <c r="D26" s="206"/>
      <c r="E26" s="124"/>
      <c r="F26" s="149"/>
      <c r="G26" s="83"/>
      <c r="H26" s="206"/>
      <c r="I26" s="124"/>
      <c r="J26" s="149"/>
      <c r="L26" s="113"/>
      <c r="M26" s="113"/>
      <c r="N26" s="116"/>
    </row>
    <row r="27" spans="1:14" ht="12.75">
      <c r="A27" s="40" t="s">
        <v>176</v>
      </c>
      <c r="B27" s="20"/>
      <c r="C27" s="41"/>
      <c r="D27" s="207">
        <f>SUM(D22:D24)</f>
        <v>-402.85468844565185</v>
      </c>
      <c r="E27" s="124"/>
      <c r="F27" s="172">
        <f>F24+F23</f>
        <v>5040</v>
      </c>
      <c r="G27" s="83"/>
      <c r="H27" s="207">
        <f>SUM(H22:H24)</f>
        <v>-8096.854688445652</v>
      </c>
      <c r="I27" s="124"/>
      <c r="J27" s="172">
        <f>J24+J23</f>
        <v>14879</v>
      </c>
      <c r="L27" s="113"/>
      <c r="M27" s="113"/>
      <c r="N27" s="116"/>
    </row>
    <row r="28" spans="1:14" ht="12.75">
      <c r="A28" s="40"/>
      <c r="B28" s="20"/>
      <c r="C28" s="41"/>
      <c r="D28" s="206"/>
      <c r="E28" s="124"/>
      <c r="F28" s="149"/>
      <c r="G28" s="83"/>
      <c r="H28" s="206"/>
      <c r="I28" s="124"/>
      <c r="J28" s="149"/>
      <c r="L28" s="113"/>
      <c r="M28" s="113"/>
      <c r="N28" s="116"/>
    </row>
    <row r="29" spans="1:14" ht="12.75">
      <c r="A29" s="74" t="s">
        <v>215</v>
      </c>
      <c r="B29" s="52"/>
      <c r="C29" s="41"/>
      <c r="D29" s="206"/>
      <c r="E29" s="124"/>
      <c r="F29" s="148"/>
      <c r="G29" s="83"/>
      <c r="H29" s="206"/>
      <c r="I29" s="124"/>
      <c r="J29" s="148"/>
      <c r="L29" s="113"/>
      <c r="M29" s="113"/>
      <c r="N29" s="116"/>
    </row>
    <row r="30" spans="1:14" ht="13.5" thickBot="1">
      <c r="A30" s="74" t="s">
        <v>176</v>
      </c>
      <c r="B30" s="52"/>
      <c r="C30" s="41"/>
      <c r="D30" s="208">
        <f>D27+D19</f>
        <v>8850.113041534869</v>
      </c>
      <c r="E30" s="124"/>
      <c r="F30" s="155">
        <f>F27+F19</f>
        <v>29689</v>
      </c>
      <c r="G30" s="83"/>
      <c r="H30" s="208">
        <f>H27+H19</f>
        <v>61699.11304153487</v>
      </c>
      <c r="I30" s="124"/>
      <c r="J30" s="155">
        <f>J27+J19</f>
        <v>41465</v>
      </c>
      <c r="L30" s="113"/>
      <c r="M30" s="113"/>
      <c r="N30" s="116"/>
    </row>
    <row r="31" spans="1:14" ht="12.75">
      <c r="A31" s="40"/>
      <c r="B31" s="52"/>
      <c r="C31" s="41"/>
      <c r="D31" s="206"/>
      <c r="E31" s="124"/>
      <c r="F31" s="148"/>
      <c r="G31" s="83"/>
      <c r="H31" s="206"/>
      <c r="I31" s="124"/>
      <c r="J31" s="148"/>
      <c r="L31" s="113"/>
      <c r="M31" s="113"/>
      <c r="N31" s="116"/>
    </row>
    <row r="32" spans="1:14" ht="12.75">
      <c r="A32" s="46" t="str">
        <f>'P&amp;L'!A56</f>
        <v>Profit attributable to :</v>
      </c>
      <c r="B32" s="41"/>
      <c r="C32" s="41"/>
      <c r="D32" s="206"/>
      <c r="E32" s="124"/>
      <c r="F32" s="148"/>
      <c r="G32" s="83"/>
      <c r="H32" s="206"/>
      <c r="I32" s="124"/>
      <c r="J32" s="148"/>
      <c r="L32" s="113"/>
      <c r="M32" s="113"/>
      <c r="N32" s="116"/>
    </row>
    <row r="33" spans="1:14" ht="12.75">
      <c r="A33" s="46" t="s">
        <v>165</v>
      </c>
      <c r="B33" s="41"/>
      <c r="C33" s="41"/>
      <c r="D33" s="206">
        <f>D36-D34</f>
        <v>8470.178810243457</v>
      </c>
      <c r="E33" s="124"/>
      <c r="F33" s="148">
        <f>F36-F34</f>
        <v>29900</v>
      </c>
      <c r="G33" s="83"/>
      <c r="H33" s="206">
        <f>H36-H34</f>
        <v>61617.17881024345</v>
      </c>
      <c r="I33" s="124"/>
      <c r="J33" s="148">
        <f>J36-J34</f>
        <v>41484</v>
      </c>
      <c r="L33" s="113"/>
      <c r="M33" s="113"/>
      <c r="N33" s="116"/>
    </row>
    <row r="34" spans="1:14" ht="12.75">
      <c r="A34" s="40" t="s">
        <v>111</v>
      </c>
      <c r="B34" s="41"/>
      <c r="C34" s="41"/>
      <c r="D34" s="206">
        <f>H34+228+70</f>
        <v>379.9342312914124</v>
      </c>
      <c r="E34" s="124"/>
      <c r="F34" s="148">
        <f>-211</f>
        <v>-211</v>
      </c>
      <c r="G34" s="83"/>
      <c r="H34" s="206">
        <f>'P&amp;L'!H58-119+6</f>
        <v>81.93423129141237</v>
      </c>
      <c r="I34" s="124"/>
      <c r="J34" s="148">
        <f>192+F34</f>
        <v>-19</v>
      </c>
      <c r="L34" s="113"/>
      <c r="M34" s="113"/>
      <c r="N34" s="116"/>
    </row>
    <row r="35" spans="1:14" ht="12.75">
      <c r="A35" s="40"/>
      <c r="B35" s="41"/>
      <c r="C35" s="41"/>
      <c r="D35" s="206"/>
      <c r="E35" s="124"/>
      <c r="F35" s="148"/>
      <c r="G35" s="83"/>
      <c r="H35" s="206"/>
      <c r="I35" s="124"/>
      <c r="J35" s="148"/>
      <c r="L35" s="113"/>
      <c r="M35" s="113"/>
      <c r="N35" s="116"/>
    </row>
    <row r="36" spans="1:14" ht="13.5" thickBot="1">
      <c r="A36" s="46"/>
      <c r="B36" s="41"/>
      <c r="C36" s="41"/>
      <c r="D36" s="210">
        <f>D30</f>
        <v>8850.113041534869</v>
      </c>
      <c r="E36" s="99"/>
      <c r="F36" s="157">
        <f>F30</f>
        <v>29689</v>
      </c>
      <c r="G36" s="83"/>
      <c r="H36" s="210">
        <f>H30</f>
        <v>61699.11304153487</v>
      </c>
      <c r="I36" s="99"/>
      <c r="J36" s="157">
        <f>J30</f>
        <v>41465</v>
      </c>
      <c r="L36" s="113"/>
      <c r="M36" s="113"/>
      <c r="N36" s="116"/>
    </row>
    <row r="37" spans="4:14" ht="12.75">
      <c r="D37" s="88"/>
      <c r="E37" s="88"/>
      <c r="F37" s="88"/>
      <c r="G37" s="88"/>
      <c r="H37" s="88"/>
      <c r="I37" s="88"/>
      <c r="J37" s="88"/>
      <c r="L37" s="113"/>
      <c r="M37" s="113"/>
      <c r="N37" s="116"/>
    </row>
    <row r="38" spans="4:14" ht="12.75">
      <c r="D38" s="88"/>
      <c r="E38" s="88"/>
      <c r="F38" s="88"/>
      <c r="G38" s="88"/>
      <c r="H38" s="88"/>
      <c r="I38" s="88"/>
      <c r="J38" s="88"/>
      <c r="L38" s="116"/>
      <c r="M38" s="116"/>
      <c r="N38" s="116"/>
    </row>
    <row r="40" spans="1:10" ht="12.75">
      <c r="A40" s="228" t="s">
        <v>151</v>
      </c>
      <c r="B40" s="228"/>
      <c r="C40" s="228"/>
      <c r="D40" s="228"/>
      <c r="E40" s="228"/>
      <c r="F40" s="228"/>
      <c r="G40" s="228"/>
      <c r="H40" s="228"/>
      <c r="I40" s="228"/>
      <c r="J40" s="228"/>
    </row>
    <row r="41" spans="1:10" ht="12.75">
      <c r="A41" s="224" t="s">
        <v>180</v>
      </c>
      <c r="B41" s="224"/>
      <c r="C41" s="224"/>
      <c r="D41" s="224"/>
      <c r="E41" s="224"/>
      <c r="F41" s="224"/>
      <c r="G41" s="224"/>
      <c r="H41" s="224"/>
      <c r="I41" s="224"/>
      <c r="J41" s="224"/>
    </row>
  </sheetData>
  <mergeCells count="7">
    <mergeCell ref="A40:J40"/>
    <mergeCell ref="A41:J41"/>
    <mergeCell ref="A1:J1"/>
    <mergeCell ref="A2:J2"/>
    <mergeCell ref="A3:J3"/>
    <mergeCell ref="D10:F10"/>
    <mergeCell ref="H10:J10"/>
  </mergeCells>
  <printOptions/>
  <pageMargins left="0.36" right="0.23" top="0.68" bottom="1" header="0.5" footer="0.5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6"/>
  <sheetViews>
    <sheetView zoomScale="80" zoomScaleNormal="80" workbookViewId="0" topLeftCell="A62">
      <selection activeCell="A99" sqref="A99"/>
    </sheetView>
  </sheetViews>
  <sheetFormatPr defaultColWidth="9.140625" defaultRowHeight="12.75"/>
  <cols>
    <col min="1" max="1" width="32.7109375" style="0" customWidth="1"/>
    <col min="2" max="2" width="10.7109375" style="0" customWidth="1"/>
    <col min="3" max="3" width="3.7109375" style="0" customWidth="1"/>
    <col min="4" max="4" width="18.7109375" style="0" customWidth="1"/>
    <col min="5" max="5" width="1.7109375" style="0" customWidth="1"/>
    <col min="6" max="6" width="32.140625" style="0" customWidth="1"/>
    <col min="7" max="7" width="1.7109375" style="0" customWidth="1"/>
    <col min="8" max="8" width="18.7109375" style="0" customWidth="1"/>
    <col min="9" max="9" width="1.7109375" style="0" customWidth="1"/>
    <col min="10" max="10" width="32.7109375" style="0" customWidth="1"/>
    <col min="11" max="11" width="14.28125" style="0" customWidth="1"/>
    <col min="12" max="12" width="18.7109375" style="0" customWidth="1"/>
    <col min="13" max="17" width="15.7109375" style="0" customWidth="1"/>
  </cols>
  <sheetData>
    <row r="1" ht="12.75">
      <c r="J1" s="71"/>
    </row>
    <row r="2" spans="1:10" ht="15.75" customHeight="1">
      <c r="A2" s="229" t="s">
        <v>3</v>
      </c>
      <c r="B2" s="229"/>
      <c r="C2" s="229"/>
      <c r="D2" s="229"/>
      <c r="E2" s="229"/>
      <c r="F2" s="229"/>
      <c r="G2" s="229"/>
      <c r="H2" s="229"/>
      <c r="I2" s="229"/>
      <c r="J2" s="229"/>
    </row>
    <row r="3" spans="1:10" ht="12.75">
      <c r="A3" s="227" t="s">
        <v>18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2.75">
      <c r="A4" s="227" t="s">
        <v>19</v>
      </c>
      <c r="B4" s="227"/>
      <c r="C4" s="227"/>
      <c r="D4" s="227"/>
      <c r="E4" s="227"/>
      <c r="F4" s="227"/>
      <c r="G4" s="227"/>
      <c r="H4" s="227"/>
      <c r="I4" s="227"/>
      <c r="J4" s="227"/>
    </row>
    <row r="5" ht="12.75">
      <c r="J5" s="120"/>
    </row>
    <row r="6" spans="1:10" ht="12.75">
      <c r="A6" s="69" t="s">
        <v>234</v>
      </c>
      <c r="J6" s="71"/>
    </row>
    <row r="7" spans="1:10" ht="12.75">
      <c r="A7" s="32"/>
      <c r="J7" s="77"/>
    </row>
    <row r="8" ht="12.75">
      <c r="A8" s="55" t="s">
        <v>51</v>
      </c>
    </row>
    <row r="9" ht="12.75">
      <c r="A9" s="32" t="s">
        <v>20</v>
      </c>
    </row>
    <row r="10" ht="12.75">
      <c r="A10" s="32" t="s">
        <v>21</v>
      </c>
    </row>
    <row r="11" ht="12.75">
      <c r="A11" s="32" t="s">
        <v>22</v>
      </c>
    </row>
    <row r="12" ht="12.75">
      <c r="A12" s="30"/>
    </row>
    <row r="13" spans="1:10" ht="13.5" thickBot="1">
      <c r="A13" s="47" t="s">
        <v>235</v>
      </c>
      <c r="B13" s="19"/>
      <c r="C13" s="19"/>
      <c r="D13" s="19"/>
      <c r="E13" s="19"/>
      <c r="F13" s="19"/>
      <c r="G13" s="19"/>
      <c r="H13" s="31"/>
      <c r="I13" s="31"/>
      <c r="J13" s="19"/>
    </row>
    <row r="14" spans="1:9" ht="12.75">
      <c r="A14" s="4"/>
      <c r="H14" s="4"/>
      <c r="I14" s="4"/>
    </row>
    <row r="15" spans="1:9" ht="12.75">
      <c r="A15" s="25" t="s">
        <v>152</v>
      </c>
      <c r="B15" s="4"/>
      <c r="C15" s="4"/>
      <c r="D15" s="4"/>
      <c r="E15" s="4"/>
      <c r="F15" s="4"/>
      <c r="G15" s="4"/>
      <c r="H15" s="4"/>
      <c r="I15" s="4"/>
    </row>
    <row r="16" spans="1:10" ht="12.75">
      <c r="A16" s="4"/>
      <c r="B16" s="4"/>
      <c r="C16" s="4"/>
      <c r="D16" s="4"/>
      <c r="E16" s="4"/>
      <c r="F16" s="115"/>
      <c r="G16" s="4"/>
      <c r="H16" s="4"/>
      <c r="I16" s="4"/>
      <c r="J16" s="115"/>
    </row>
    <row r="17" spans="1:10" ht="12.75">
      <c r="A17" s="4"/>
      <c r="B17" s="4"/>
      <c r="C17" s="4"/>
      <c r="D17" s="201" t="s">
        <v>45</v>
      </c>
      <c r="E17" s="202"/>
      <c r="F17" s="203"/>
      <c r="G17" s="16"/>
      <c r="H17" s="198" t="s">
        <v>8</v>
      </c>
      <c r="I17" s="199"/>
      <c r="J17" s="200"/>
    </row>
    <row r="18" spans="1:15" ht="12.75">
      <c r="A18" s="101"/>
      <c r="B18" s="101"/>
      <c r="C18" s="101"/>
      <c r="D18" s="195" t="s">
        <v>172</v>
      </c>
      <c r="E18" s="136"/>
      <c r="F18" s="137" t="s">
        <v>138</v>
      </c>
      <c r="G18" s="85"/>
      <c r="H18" s="195" t="s">
        <v>172</v>
      </c>
      <c r="I18" s="136"/>
      <c r="J18" s="137" t="s">
        <v>138</v>
      </c>
      <c r="K18" s="88"/>
      <c r="L18" s="53"/>
      <c r="M18" s="53"/>
      <c r="N18" s="53"/>
      <c r="O18" s="73"/>
    </row>
    <row r="19" spans="1:11" ht="12.75">
      <c r="A19" s="101"/>
      <c r="B19" s="101"/>
      <c r="C19" s="101"/>
      <c r="D19" s="196" t="s">
        <v>94</v>
      </c>
      <c r="E19" s="136"/>
      <c r="F19" s="137" t="s">
        <v>229</v>
      </c>
      <c r="G19" s="85"/>
      <c r="H19" s="196" t="s">
        <v>173</v>
      </c>
      <c r="I19" s="136"/>
      <c r="J19" s="135" t="s">
        <v>230</v>
      </c>
      <c r="K19" s="88"/>
    </row>
    <row r="20" spans="1:11" ht="12.75">
      <c r="A20" s="101"/>
      <c r="B20" s="101"/>
      <c r="C20" s="101"/>
      <c r="D20" s="196" t="s">
        <v>16</v>
      </c>
      <c r="E20" s="136"/>
      <c r="F20" s="135" t="s">
        <v>96</v>
      </c>
      <c r="G20" s="85"/>
      <c r="H20" s="195" t="s">
        <v>15</v>
      </c>
      <c r="I20" s="136"/>
      <c r="J20" s="135" t="s">
        <v>221</v>
      </c>
      <c r="K20" s="88"/>
    </row>
    <row r="21" spans="1:11" ht="12.75">
      <c r="A21" s="101"/>
      <c r="B21" s="101"/>
      <c r="C21" s="101"/>
      <c r="D21" s="197">
        <v>41364</v>
      </c>
      <c r="E21" s="65"/>
      <c r="F21" s="138">
        <v>40999</v>
      </c>
      <c r="G21" s="139"/>
      <c r="H21" s="197">
        <f>D21</f>
        <v>41364</v>
      </c>
      <c r="I21" s="140"/>
      <c r="J21" s="141">
        <f>F21</f>
        <v>40999</v>
      </c>
      <c r="K21" s="88"/>
    </row>
    <row r="22" spans="1:11" ht="12.75">
      <c r="A22" s="101"/>
      <c r="B22" s="101"/>
      <c r="C22" s="101"/>
      <c r="D22" s="197"/>
      <c r="E22" s="65"/>
      <c r="F22" s="141" t="s">
        <v>206</v>
      </c>
      <c r="G22" s="139"/>
      <c r="H22" s="197"/>
      <c r="I22" s="140"/>
      <c r="J22" s="141" t="str">
        <f>F22</f>
        <v>(Restated)*</v>
      </c>
      <c r="K22" s="88"/>
    </row>
    <row r="23" spans="1:11" ht="12.75">
      <c r="A23" s="101"/>
      <c r="B23" s="85" t="s">
        <v>103</v>
      </c>
      <c r="C23" s="101"/>
      <c r="D23" s="195" t="s">
        <v>5</v>
      </c>
      <c r="E23" s="65"/>
      <c r="F23" s="137" t="s">
        <v>5</v>
      </c>
      <c r="G23" s="85"/>
      <c r="H23" s="195" t="s">
        <v>6</v>
      </c>
      <c r="I23" s="136"/>
      <c r="J23" s="137" t="s">
        <v>6</v>
      </c>
      <c r="K23" s="88"/>
    </row>
    <row r="24" spans="1:11" ht="12.75">
      <c r="A24" s="88"/>
      <c r="B24" s="88"/>
      <c r="C24" s="88"/>
      <c r="D24" s="205"/>
      <c r="E24" s="65"/>
      <c r="F24" s="142"/>
      <c r="G24" s="88"/>
      <c r="H24" s="205"/>
      <c r="I24" s="65"/>
      <c r="J24" s="142"/>
      <c r="K24" s="88"/>
    </row>
    <row r="25" spans="1:18" ht="12.75">
      <c r="A25" s="144" t="s">
        <v>17</v>
      </c>
      <c r="B25" s="83"/>
      <c r="C25" s="83"/>
      <c r="D25" s="206">
        <f>H25-63639-47692</f>
        <v>97521.86880518275</v>
      </c>
      <c r="E25" s="124"/>
      <c r="F25" s="145">
        <f>51143</f>
        <v>51143</v>
      </c>
      <c r="G25" s="83"/>
      <c r="H25" s="206">
        <f>'[3]M-GER95A.XLS'!$X$186</f>
        <v>208852.86880518275</v>
      </c>
      <c r="I25" s="124"/>
      <c r="J25" s="146">
        <f>F25+73505+49285</f>
        <v>173933</v>
      </c>
      <c r="K25" s="147"/>
      <c r="P25" s="42"/>
      <c r="Q25" s="42"/>
      <c r="R25" s="42"/>
    </row>
    <row r="26" spans="1:18" ht="12.75">
      <c r="A26" s="144"/>
      <c r="B26" s="83"/>
      <c r="C26" s="83"/>
      <c r="D26" s="206"/>
      <c r="E26" s="124"/>
      <c r="F26" s="145"/>
      <c r="G26" s="83"/>
      <c r="H26" s="206"/>
      <c r="I26" s="124"/>
      <c r="J26" s="148"/>
      <c r="K26" s="147"/>
      <c r="P26" s="42"/>
      <c r="Q26" s="42"/>
      <c r="R26" s="42"/>
    </row>
    <row r="27" spans="1:18" ht="12.75">
      <c r="A27" s="144" t="s">
        <v>64</v>
      </c>
      <c r="B27" s="85">
        <v>1</v>
      </c>
      <c r="C27" s="83"/>
      <c r="D27" s="206">
        <f>H27+52718+36850</f>
        <v>-76936.16372375801</v>
      </c>
      <c r="E27" s="124"/>
      <c r="F27" s="145">
        <f>-41608</f>
        <v>-41608</v>
      </c>
      <c r="G27" s="83"/>
      <c r="H27" s="206">
        <f>-'[3]M-GER95A.XLS'!$S$695-'[3]M-GER95A.XLS'!$S$705-'[3]M-GER95A.XLS'!$S$706-1</f>
        <v>-166504.163723758</v>
      </c>
      <c r="I27" s="124"/>
      <c r="J27" s="148">
        <f>F27-57722-38198</f>
        <v>-137528</v>
      </c>
      <c r="K27" s="147"/>
      <c r="P27" s="42"/>
      <c r="Q27" s="42"/>
      <c r="R27" s="42"/>
    </row>
    <row r="28" spans="1:18" ht="12.75">
      <c r="A28" s="144"/>
      <c r="B28" s="83"/>
      <c r="C28" s="83"/>
      <c r="D28" s="206"/>
      <c r="E28" s="124"/>
      <c r="F28" s="145"/>
      <c r="G28" s="83"/>
      <c r="H28" s="206"/>
      <c r="I28" s="124"/>
      <c r="J28" s="148"/>
      <c r="K28" s="147"/>
      <c r="P28" s="42"/>
      <c r="Q28" s="42"/>
      <c r="R28" s="42"/>
    </row>
    <row r="29" spans="1:18" ht="12.75">
      <c r="A29" s="144" t="s">
        <v>65</v>
      </c>
      <c r="B29" s="85">
        <v>2</v>
      </c>
      <c r="C29" s="83"/>
      <c r="D29" s="206">
        <f>H29+2995+3044</f>
        <v>-5376.762112491</v>
      </c>
      <c r="E29" s="124"/>
      <c r="F29" s="149">
        <f>-9118</f>
        <v>-9118</v>
      </c>
      <c r="G29" s="83"/>
      <c r="H29" s="206">
        <f>-'[3]M-GER95A.XLS'!$S$709</f>
        <v>-11415.762112491</v>
      </c>
      <c r="I29" s="124"/>
      <c r="J29" s="149">
        <f>F29-1505-4847</f>
        <v>-15470</v>
      </c>
      <c r="K29" s="147"/>
      <c r="P29" s="42"/>
      <c r="Q29" s="42"/>
      <c r="R29" s="42"/>
    </row>
    <row r="30" spans="1:18" ht="12.75">
      <c r="A30" s="144"/>
      <c r="B30" s="85"/>
      <c r="C30" s="83"/>
      <c r="D30" s="206"/>
      <c r="E30" s="124"/>
      <c r="F30" s="149"/>
      <c r="G30" s="83"/>
      <c r="H30" s="206"/>
      <c r="I30" s="124"/>
      <c r="J30" s="149"/>
      <c r="K30" s="147"/>
      <c r="P30" s="42"/>
      <c r="Q30" s="42"/>
      <c r="R30" s="42"/>
    </row>
    <row r="31" spans="1:18" ht="12.75">
      <c r="A31" s="150" t="s">
        <v>66</v>
      </c>
      <c r="B31" s="85">
        <v>3</v>
      </c>
      <c r="C31" s="83"/>
      <c r="D31" s="206">
        <f>H31+10587+7854</f>
        <v>-13936.015967284999</v>
      </c>
      <c r="E31" s="124"/>
      <c r="F31" s="149">
        <f>12728</f>
        <v>12728</v>
      </c>
      <c r="G31" s="83"/>
      <c r="H31" s="206">
        <f>-'[3]M-GER95A.XLS'!$S$713</f>
        <v>-32377.015967285</v>
      </c>
      <c r="I31" s="124"/>
      <c r="J31" s="149">
        <f>F31-38691-4320</f>
        <v>-30283</v>
      </c>
      <c r="K31" s="147"/>
      <c r="P31" s="42"/>
      <c r="Q31" s="42"/>
      <c r="R31" s="42"/>
    </row>
    <row r="32" spans="1:18" ht="12.75">
      <c r="A32" s="150"/>
      <c r="B32" s="85"/>
      <c r="C32" s="83"/>
      <c r="D32" s="206"/>
      <c r="E32" s="124"/>
      <c r="F32" s="148"/>
      <c r="G32" s="83"/>
      <c r="H32" s="206"/>
      <c r="I32" s="124"/>
      <c r="J32" s="148"/>
      <c r="K32" s="147"/>
      <c r="P32" s="42"/>
      <c r="Q32" s="42"/>
      <c r="R32" s="42"/>
    </row>
    <row r="33" spans="1:18" ht="12.75">
      <c r="A33" s="144" t="s">
        <v>90</v>
      </c>
      <c r="B33" s="85">
        <v>4</v>
      </c>
      <c r="C33" s="88"/>
      <c r="D33" s="206">
        <f>H33-28596-29920</f>
        <v>6287.094922489006</v>
      </c>
      <c r="E33" s="124"/>
      <c r="F33" s="148">
        <f>9006</f>
        <v>9006</v>
      </c>
      <c r="G33" s="83"/>
      <c r="H33" s="206">
        <f>'[3]M-GER95A.XLS'!$Q$614</f>
        <v>64803.09492248901</v>
      </c>
      <c r="I33" s="124"/>
      <c r="J33" s="148">
        <f>F33+8359+8330</f>
        <v>25695</v>
      </c>
      <c r="K33" s="147"/>
      <c r="P33" s="42"/>
      <c r="Q33" s="42"/>
      <c r="R33" s="42"/>
    </row>
    <row r="34" spans="1:18" ht="12.75">
      <c r="A34" s="144"/>
      <c r="B34" s="85"/>
      <c r="C34" s="83"/>
      <c r="D34" s="206"/>
      <c r="E34" s="124"/>
      <c r="F34" s="148"/>
      <c r="G34" s="83"/>
      <c r="H34" s="206"/>
      <c r="I34" s="124"/>
      <c r="J34" s="148"/>
      <c r="K34" s="147"/>
      <c r="P34" s="42"/>
      <c r="Q34" s="42"/>
      <c r="R34" s="42"/>
    </row>
    <row r="35" spans="1:18" ht="12.75">
      <c r="A35" s="144" t="s">
        <v>33</v>
      </c>
      <c r="B35" s="85"/>
      <c r="C35" s="151"/>
      <c r="D35" s="206">
        <f>H35+3286+3135</f>
        <v>-3531.023211908996</v>
      </c>
      <c r="E35" s="124"/>
      <c r="F35" s="148">
        <f>-3267</f>
        <v>-3267</v>
      </c>
      <c r="G35" s="83"/>
      <c r="H35" s="206">
        <f>-'[3]M-GER95A.XLS'!$S$719</f>
        <v>-9952.023211908996</v>
      </c>
      <c r="I35" s="124"/>
      <c r="J35" s="148">
        <f>F35-1870-2386</f>
        <v>-7523</v>
      </c>
      <c r="K35" s="147"/>
      <c r="P35" s="42"/>
      <c r="Q35" s="42"/>
      <c r="R35" s="42"/>
    </row>
    <row r="36" spans="1:18" ht="12.75">
      <c r="A36" s="144"/>
      <c r="B36" s="85"/>
      <c r="C36" s="151"/>
      <c r="D36" s="206"/>
      <c r="E36" s="124"/>
      <c r="F36" s="148"/>
      <c r="G36" s="83"/>
      <c r="H36" s="206"/>
      <c r="I36" s="124"/>
      <c r="J36" s="148"/>
      <c r="K36" s="147"/>
      <c r="P36" s="42"/>
      <c r="Q36" s="42"/>
      <c r="R36" s="42"/>
    </row>
    <row r="37" spans="1:18" ht="12.75">
      <c r="A37" s="150" t="s">
        <v>79</v>
      </c>
      <c r="B37" s="85">
        <v>5</v>
      </c>
      <c r="C37" s="151"/>
      <c r="D37" s="206">
        <f>H37-145</f>
        <v>-0.4674349433817042</v>
      </c>
      <c r="E37" s="124"/>
      <c r="F37" s="148">
        <v>0</v>
      </c>
      <c r="G37" s="83"/>
      <c r="H37" s="206">
        <f>'[3]M-GER95A.XLS'!$X$246</f>
        <v>144.5325650566183</v>
      </c>
      <c r="I37" s="124"/>
      <c r="J37" s="146">
        <f>F37+5112+9151</f>
        <v>14263</v>
      </c>
      <c r="K37" s="147"/>
      <c r="P37" s="42"/>
      <c r="Q37" s="42"/>
      <c r="R37" s="42"/>
    </row>
    <row r="38" spans="1:18" ht="12.75">
      <c r="A38" s="144"/>
      <c r="B38" s="151"/>
      <c r="C38" s="83"/>
      <c r="D38" s="206"/>
      <c r="E38" s="124"/>
      <c r="F38" s="148"/>
      <c r="G38" s="83"/>
      <c r="H38" s="206"/>
      <c r="I38" s="124"/>
      <c r="J38" s="148"/>
      <c r="K38" s="147"/>
      <c r="P38" s="42"/>
      <c r="Q38" s="42"/>
      <c r="R38" s="42"/>
    </row>
    <row r="39" spans="1:18" ht="12.75">
      <c r="A39" s="150" t="s">
        <v>175</v>
      </c>
      <c r="B39" s="151"/>
      <c r="C39" s="83"/>
      <c r="D39" s="206"/>
      <c r="E39" s="124"/>
      <c r="F39" s="148"/>
      <c r="G39" s="83"/>
      <c r="H39" s="206"/>
      <c r="I39" s="124"/>
      <c r="J39" s="148"/>
      <c r="K39" s="147"/>
      <c r="P39" s="42"/>
      <c r="Q39" s="42"/>
      <c r="R39" s="42"/>
    </row>
    <row r="40" spans="1:18" ht="12.75">
      <c r="A40" s="150" t="s">
        <v>88</v>
      </c>
      <c r="B40" s="151"/>
      <c r="C40" s="83"/>
      <c r="D40" s="206">
        <f>H40-7303-9053</f>
        <v>6371.760610683872</v>
      </c>
      <c r="E40" s="124"/>
      <c r="F40" s="148">
        <f>6008</f>
        <v>6008</v>
      </c>
      <c r="G40" s="83"/>
      <c r="H40" s="206">
        <f>'[3]M-GER95A.XLS'!$X$247</f>
        <v>22727.760610683872</v>
      </c>
      <c r="I40" s="124"/>
      <c r="J40" s="148">
        <f>F40-5648+5318</f>
        <v>5678</v>
      </c>
      <c r="K40" s="147"/>
      <c r="P40" s="42"/>
      <c r="Q40" s="42"/>
      <c r="R40" s="42"/>
    </row>
    <row r="41" spans="1:18" ht="12.75">
      <c r="A41" s="150"/>
      <c r="B41" s="151"/>
      <c r="C41" s="83"/>
      <c r="D41" s="206"/>
      <c r="E41" s="124"/>
      <c r="F41" s="148"/>
      <c r="G41" s="83"/>
      <c r="H41" s="206"/>
      <c r="I41" s="124"/>
      <c r="J41" s="148"/>
      <c r="K41" s="147"/>
      <c r="P41" s="42"/>
      <c r="Q41" s="42"/>
      <c r="R41" s="42"/>
    </row>
    <row r="42" spans="1:18" ht="12.75">
      <c r="A42" s="152" t="s">
        <v>175</v>
      </c>
      <c r="B42" s="151"/>
      <c r="C42" s="83"/>
      <c r="D42" s="206"/>
      <c r="E42" s="124"/>
      <c r="F42" s="148"/>
      <c r="G42" s="83"/>
      <c r="H42" s="206"/>
      <c r="I42" s="124"/>
      <c r="J42" s="148"/>
      <c r="K42" s="147"/>
      <c r="M42" s="117"/>
      <c r="P42" s="42"/>
      <c r="Q42" s="42"/>
      <c r="R42" s="42"/>
    </row>
    <row r="43" spans="1:18" ht="12.75">
      <c r="A43" s="152" t="s">
        <v>105</v>
      </c>
      <c r="B43" s="151"/>
      <c r="C43" s="83"/>
      <c r="D43" s="207">
        <f>H43-110+4137</f>
        <v>-0.32205798871655134</v>
      </c>
      <c r="E43" s="124"/>
      <c r="F43" s="153">
        <f>77</f>
        <v>77</v>
      </c>
      <c r="G43" s="83"/>
      <c r="H43" s="207">
        <f>'[3]M-GER95A.XLS'!$X$249</f>
        <v>-4027.3220579887166</v>
      </c>
      <c r="I43" s="124"/>
      <c r="J43" s="153">
        <f>F43+72+126</f>
        <v>275</v>
      </c>
      <c r="K43" s="147"/>
      <c r="M43" s="118"/>
      <c r="N43" s="17"/>
      <c r="P43" s="42"/>
      <c r="Q43" s="42"/>
      <c r="R43" s="42"/>
    </row>
    <row r="44" spans="1:18" ht="12.75">
      <c r="A44" s="144"/>
      <c r="B44" s="151"/>
      <c r="C44" s="83"/>
      <c r="D44" s="206"/>
      <c r="E44" s="124"/>
      <c r="F44" s="148"/>
      <c r="G44" s="83"/>
      <c r="H44" s="206"/>
      <c r="I44" s="124"/>
      <c r="J44" s="148"/>
      <c r="K44" s="147"/>
      <c r="M44" s="17"/>
      <c r="N44" s="118"/>
      <c r="P44" s="42"/>
      <c r="Q44" s="42"/>
      <c r="R44" s="42"/>
    </row>
    <row r="45" spans="1:18" ht="12.75">
      <c r="A45" s="150" t="s">
        <v>210</v>
      </c>
      <c r="B45" s="154"/>
      <c r="C45" s="83"/>
      <c r="D45" s="206">
        <f>SUM(D25:D44)+1</f>
        <v>10400.96982998052</v>
      </c>
      <c r="E45" s="124"/>
      <c r="F45" s="148">
        <f>SUM(F25:F43)</f>
        <v>24969</v>
      </c>
      <c r="G45" s="83"/>
      <c r="H45" s="206">
        <f>SUM(H25:H44)+1</f>
        <v>72252.96982998052</v>
      </c>
      <c r="I45" s="124"/>
      <c r="J45" s="148">
        <f>SUM(J25:J43)</f>
        <v>29040</v>
      </c>
      <c r="K45" s="147"/>
      <c r="M45" s="119"/>
      <c r="N45" s="113"/>
      <c r="P45" s="42"/>
      <c r="Q45" s="42"/>
      <c r="R45" s="42"/>
    </row>
    <row r="46" spans="1:18" ht="12.75">
      <c r="A46" s="144"/>
      <c r="B46" s="151"/>
      <c r="C46" s="83"/>
      <c r="D46" s="206"/>
      <c r="E46" s="124"/>
      <c r="F46" s="148"/>
      <c r="G46" s="83"/>
      <c r="H46" s="206"/>
      <c r="I46" s="124"/>
      <c r="J46" s="148"/>
      <c r="K46" s="147"/>
      <c r="M46" s="113"/>
      <c r="N46" s="113"/>
      <c r="P46" s="42"/>
      <c r="Q46" s="42"/>
      <c r="R46" s="42"/>
    </row>
    <row r="47" spans="1:18" ht="12.75">
      <c r="A47" s="144" t="s">
        <v>4</v>
      </c>
      <c r="B47" s="151"/>
      <c r="C47" s="83"/>
      <c r="D47" s="207">
        <f>H47+17+1292</f>
        <v>-1148.0020999999997</v>
      </c>
      <c r="E47" s="124"/>
      <c r="F47" s="153">
        <f>-320</f>
        <v>-320</v>
      </c>
      <c r="G47" s="83"/>
      <c r="H47" s="207">
        <f>'[3]M-GER95A.XLS'!$X$251</f>
        <v>-2457.0020999999997</v>
      </c>
      <c r="I47" s="124"/>
      <c r="J47" s="153">
        <f>F47-930-1204</f>
        <v>-2454</v>
      </c>
      <c r="K47" s="147"/>
      <c r="M47" s="113"/>
      <c r="N47" s="113"/>
      <c r="P47" s="42"/>
      <c r="Q47" s="42"/>
      <c r="R47" s="42"/>
    </row>
    <row r="48" spans="1:18" ht="12.75">
      <c r="A48" s="144"/>
      <c r="B48" s="151"/>
      <c r="C48" s="83"/>
      <c r="D48" s="206"/>
      <c r="E48" s="124"/>
      <c r="F48" s="148"/>
      <c r="G48" s="83"/>
      <c r="H48" s="206"/>
      <c r="I48" s="124"/>
      <c r="J48" s="148"/>
      <c r="K48" s="147"/>
      <c r="M48" s="17"/>
      <c r="N48" s="17"/>
      <c r="P48" s="42"/>
      <c r="Q48" s="42"/>
      <c r="R48" s="42"/>
    </row>
    <row r="49" spans="1:18" ht="13.5" thickBot="1">
      <c r="A49" s="150" t="s">
        <v>211</v>
      </c>
      <c r="B49" s="151"/>
      <c r="C49" s="83"/>
      <c r="D49" s="208">
        <f>SUM(D45:D47)</f>
        <v>9252.96772998052</v>
      </c>
      <c r="E49" s="124"/>
      <c r="F49" s="155">
        <f>SUM(F45:F47)</f>
        <v>24649</v>
      </c>
      <c r="G49" s="83"/>
      <c r="H49" s="208">
        <f>SUM(H45:H47)</f>
        <v>69795.96772998052</v>
      </c>
      <c r="I49" s="124"/>
      <c r="J49" s="155">
        <f>SUM(J45:J47)</f>
        <v>26586</v>
      </c>
      <c r="K49" s="147"/>
      <c r="M49" s="113"/>
      <c r="N49" s="113"/>
      <c r="P49" s="42"/>
      <c r="Q49" s="42"/>
      <c r="R49" s="42"/>
    </row>
    <row r="50" spans="1:18" ht="12.75" hidden="1">
      <c r="A50" s="150"/>
      <c r="B50" s="151"/>
      <c r="C50" s="83"/>
      <c r="D50" s="206"/>
      <c r="E50" s="124"/>
      <c r="F50" s="148"/>
      <c r="G50" s="83"/>
      <c r="H50" s="206"/>
      <c r="I50" s="124"/>
      <c r="J50" s="148"/>
      <c r="K50" s="147"/>
      <c r="M50" s="17"/>
      <c r="N50" s="17"/>
      <c r="P50" s="42"/>
      <c r="Q50" s="42"/>
      <c r="R50" s="42"/>
    </row>
    <row r="51" spans="1:18" ht="12.75" hidden="1">
      <c r="A51" s="152" t="s">
        <v>116</v>
      </c>
      <c r="B51" s="151"/>
      <c r="C51" s="83"/>
      <c r="D51" s="206">
        <v>0</v>
      </c>
      <c r="E51" s="124"/>
      <c r="F51" s="148">
        <v>0</v>
      </c>
      <c r="G51" s="83"/>
      <c r="H51" s="206">
        <v>0</v>
      </c>
      <c r="I51" s="124"/>
      <c r="J51" s="148">
        <v>0</v>
      </c>
      <c r="K51" s="147"/>
      <c r="M51" s="17"/>
      <c r="N51" s="17"/>
      <c r="P51" s="42"/>
      <c r="Q51" s="42"/>
      <c r="R51" s="42"/>
    </row>
    <row r="52" spans="1:18" ht="12.75" hidden="1">
      <c r="A52" s="152"/>
      <c r="B52" s="151"/>
      <c r="C52" s="83"/>
      <c r="D52" s="206"/>
      <c r="E52" s="124"/>
      <c r="F52" s="148"/>
      <c r="G52" s="83"/>
      <c r="H52" s="206"/>
      <c r="I52" s="124"/>
      <c r="J52" s="148"/>
      <c r="K52" s="147"/>
      <c r="M52" s="17"/>
      <c r="N52" s="17"/>
      <c r="P52" s="42"/>
      <c r="Q52" s="42"/>
      <c r="R52" s="42"/>
    </row>
    <row r="53" spans="1:18" ht="12.75" hidden="1">
      <c r="A53" s="152" t="s">
        <v>117</v>
      </c>
      <c r="B53" s="151"/>
      <c r="C53" s="83"/>
      <c r="D53" s="209"/>
      <c r="E53" s="124"/>
      <c r="F53" s="156"/>
      <c r="G53" s="83"/>
      <c r="H53" s="209"/>
      <c r="I53" s="124"/>
      <c r="J53" s="156"/>
      <c r="K53" s="147"/>
      <c r="M53" s="17"/>
      <c r="N53" s="17"/>
      <c r="P53" s="42"/>
      <c r="Q53" s="42"/>
      <c r="R53" s="42"/>
    </row>
    <row r="54" spans="1:18" ht="13.5" hidden="1" thickBot="1">
      <c r="A54" s="152" t="s">
        <v>118</v>
      </c>
      <c r="B54" s="151"/>
      <c r="C54" s="83"/>
      <c r="D54" s="208">
        <f>SUM(D48:D52)</f>
        <v>9252.96772998052</v>
      </c>
      <c r="E54" s="124"/>
      <c r="F54" s="155">
        <f>SUM(F49:F52)</f>
        <v>24649</v>
      </c>
      <c r="G54" s="83"/>
      <c r="H54" s="208">
        <f>SUM(H49:H52)</f>
        <v>69795.96772998052</v>
      </c>
      <c r="I54" s="124"/>
      <c r="J54" s="155">
        <f>SUM(J49:J52)</f>
        <v>26586</v>
      </c>
      <c r="K54" s="147"/>
      <c r="M54" s="17"/>
      <c r="N54" s="17"/>
      <c r="P54" s="42"/>
      <c r="Q54" s="42"/>
      <c r="R54" s="42"/>
    </row>
    <row r="55" spans="1:18" ht="12.75">
      <c r="A55" s="144"/>
      <c r="B55" s="151"/>
      <c r="C55" s="83"/>
      <c r="D55" s="206"/>
      <c r="E55" s="124"/>
      <c r="F55" s="148"/>
      <c r="G55" s="83"/>
      <c r="H55" s="206"/>
      <c r="I55" s="124"/>
      <c r="J55" s="148"/>
      <c r="K55" s="147"/>
      <c r="M55" s="17"/>
      <c r="N55" s="17"/>
      <c r="P55" s="42"/>
      <c r="Q55" s="42"/>
      <c r="R55" s="42"/>
    </row>
    <row r="56" spans="1:18" ht="12.75">
      <c r="A56" s="150" t="s">
        <v>212</v>
      </c>
      <c r="B56" s="83"/>
      <c r="C56" s="83"/>
      <c r="D56" s="206"/>
      <c r="E56" s="124"/>
      <c r="F56" s="148"/>
      <c r="G56" s="83"/>
      <c r="H56" s="206"/>
      <c r="I56" s="124"/>
      <c r="J56" s="148"/>
      <c r="K56" s="147"/>
      <c r="M56" s="17"/>
      <c r="N56" s="17"/>
      <c r="P56" s="42"/>
      <c r="Q56" s="42"/>
      <c r="R56" s="42"/>
    </row>
    <row r="57" spans="1:18" ht="12.75">
      <c r="A57" s="150" t="s">
        <v>165</v>
      </c>
      <c r="B57" s="83"/>
      <c r="C57" s="83"/>
      <c r="D57" s="206">
        <f>H57-30300-30422</f>
        <v>8879.03349868911</v>
      </c>
      <c r="E57" s="124"/>
      <c r="F57" s="148">
        <f>F49-F58</f>
        <v>24752</v>
      </c>
      <c r="G57" s="83"/>
      <c r="H57" s="206">
        <f>H60-H58</f>
        <v>69601.03349868911</v>
      </c>
      <c r="I57" s="124"/>
      <c r="J57" s="148">
        <f>J49-J58</f>
        <v>26631</v>
      </c>
      <c r="K57" s="147"/>
      <c r="M57" s="113"/>
      <c r="N57" s="113"/>
      <c r="P57" s="42"/>
      <c r="Q57" s="42"/>
      <c r="R57" s="42"/>
    </row>
    <row r="58" spans="1:18" ht="12.75">
      <c r="A58" s="144" t="s">
        <v>111</v>
      </c>
      <c r="B58" s="83"/>
      <c r="C58" s="83"/>
      <c r="D58" s="206">
        <f>H58+110+69</f>
        <v>373.9342312914124</v>
      </c>
      <c r="E58" s="124"/>
      <c r="F58" s="148">
        <f>-103</f>
        <v>-103</v>
      </c>
      <c r="G58" s="83"/>
      <c r="H58" s="206">
        <f>-'[3]M-GER95A.XLS'!$X$259</f>
        <v>194.93423129141237</v>
      </c>
      <c r="I58" s="124"/>
      <c r="J58" s="148">
        <f>58+F58</f>
        <v>-45</v>
      </c>
      <c r="K58" s="147"/>
      <c r="M58" s="113"/>
      <c r="N58" s="113"/>
      <c r="P58" s="42"/>
      <c r="Q58" s="42"/>
      <c r="R58" s="42"/>
    </row>
    <row r="59" spans="1:18" ht="12.75">
      <c r="A59" s="144"/>
      <c r="B59" s="83"/>
      <c r="C59" s="83"/>
      <c r="D59" s="206"/>
      <c r="E59" s="124"/>
      <c r="F59" s="148"/>
      <c r="G59" s="83"/>
      <c r="H59" s="206"/>
      <c r="I59" s="124"/>
      <c r="J59" s="148"/>
      <c r="K59" s="147"/>
      <c r="M59" s="17"/>
      <c r="N59" s="17"/>
      <c r="P59" s="42"/>
      <c r="Q59" s="42"/>
      <c r="R59" s="42"/>
    </row>
    <row r="60" spans="1:18" ht="13.5" thickBot="1">
      <c r="A60" s="150"/>
      <c r="B60" s="83"/>
      <c r="C60" s="83"/>
      <c r="D60" s="210">
        <f>D54</f>
        <v>9252.96772998052</v>
      </c>
      <c r="E60" s="124"/>
      <c r="F60" s="157">
        <f>F58+F57</f>
        <v>24649</v>
      </c>
      <c r="G60" s="83"/>
      <c r="H60" s="210">
        <f>H54</f>
        <v>69795.96772998052</v>
      </c>
      <c r="I60" s="124"/>
      <c r="J60" s="157">
        <f>J58+J57</f>
        <v>26586</v>
      </c>
      <c r="K60" s="147"/>
      <c r="M60" s="113"/>
      <c r="N60" s="113"/>
      <c r="P60" s="42"/>
      <c r="Q60" s="42"/>
      <c r="R60" s="42"/>
    </row>
    <row r="61" spans="1:18" ht="12.75">
      <c r="A61" s="144"/>
      <c r="B61" s="83"/>
      <c r="C61" s="83"/>
      <c r="D61" s="206"/>
      <c r="E61" s="124"/>
      <c r="F61" s="148"/>
      <c r="G61" s="83"/>
      <c r="H61" s="206"/>
      <c r="I61" s="124"/>
      <c r="J61" s="148"/>
      <c r="K61" s="88"/>
      <c r="M61" s="17"/>
      <c r="N61" s="17"/>
      <c r="P61" s="42"/>
      <c r="Q61" s="42"/>
      <c r="R61" s="42"/>
    </row>
    <row r="62" spans="1:18" ht="12.75">
      <c r="A62" s="152" t="s">
        <v>213</v>
      </c>
      <c r="B62" s="83"/>
      <c r="C62" s="83"/>
      <c r="D62" s="206"/>
      <c r="E62" s="124"/>
      <c r="F62" s="148"/>
      <c r="G62" s="83"/>
      <c r="H62" s="206"/>
      <c r="I62" s="124"/>
      <c r="J62" s="158"/>
      <c r="K62" s="147"/>
      <c r="M62" s="17"/>
      <c r="N62" s="17"/>
      <c r="P62" s="42"/>
      <c r="Q62" s="42"/>
      <c r="R62" s="42"/>
    </row>
    <row r="63" spans="1:18" ht="12.75">
      <c r="A63" s="159" t="s">
        <v>23</v>
      </c>
      <c r="B63" s="83"/>
      <c r="C63" s="83"/>
      <c r="D63" s="211">
        <f>H63-4.39-4.53</f>
        <v>1.325875839456943</v>
      </c>
      <c r="E63" s="124"/>
      <c r="F63" s="160">
        <f>J63+2.82-3.1</f>
        <v>3.61</v>
      </c>
      <c r="G63" s="83"/>
      <c r="H63" s="212">
        <f>'[4]June 2013'!$C$58</f>
        <v>10.245875839456943</v>
      </c>
      <c r="I63" s="124"/>
      <c r="J63" s="161">
        <f>3.89</f>
        <v>3.89</v>
      </c>
      <c r="K63" s="147"/>
      <c r="M63" s="17"/>
      <c r="N63" s="17"/>
      <c r="P63" s="42"/>
      <c r="Q63" s="42"/>
      <c r="R63" s="42"/>
    </row>
    <row r="64" spans="1:18" ht="12.75">
      <c r="A64" s="159" t="s">
        <v>24</v>
      </c>
      <c r="B64" s="83"/>
      <c r="C64" s="83"/>
      <c r="D64" s="213" t="s">
        <v>104</v>
      </c>
      <c r="E64" s="124"/>
      <c r="F64" s="162" t="s">
        <v>104</v>
      </c>
      <c r="G64" s="83"/>
      <c r="H64" s="214" t="s">
        <v>104</v>
      </c>
      <c r="I64" s="124"/>
      <c r="J64" s="162" t="s">
        <v>104</v>
      </c>
      <c r="K64" s="147"/>
      <c r="M64" s="17"/>
      <c r="P64" s="42"/>
      <c r="Q64" s="42"/>
      <c r="R64" s="42"/>
    </row>
    <row r="65" spans="1:18" ht="12.75">
      <c r="A65" s="144"/>
      <c r="B65" s="83"/>
      <c r="C65" s="83"/>
      <c r="D65" s="207"/>
      <c r="E65" s="99"/>
      <c r="F65" s="163"/>
      <c r="G65" s="83"/>
      <c r="H65" s="207"/>
      <c r="I65" s="99"/>
      <c r="J65" s="153"/>
      <c r="K65" s="147"/>
      <c r="M65" s="17"/>
      <c r="P65" s="42"/>
      <c r="Q65" s="42"/>
      <c r="R65" s="42"/>
    </row>
    <row r="66" spans="1:18" ht="12.75">
      <c r="A66" s="144"/>
      <c r="B66" s="83"/>
      <c r="C66" s="83"/>
      <c r="D66" s="83"/>
      <c r="E66" s="83"/>
      <c r="F66" s="83"/>
      <c r="G66" s="83"/>
      <c r="H66" s="83"/>
      <c r="I66" s="83"/>
      <c r="J66" s="83"/>
      <c r="K66" s="147"/>
      <c r="M66" s="17"/>
      <c r="P66" s="42"/>
      <c r="Q66" s="42"/>
      <c r="R66" s="42"/>
    </row>
    <row r="67" spans="1:18" ht="12.75">
      <c r="A67" s="144"/>
      <c r="B67" s="83"/>
      <c r="C67" s="83"/>
      <c r="D67" s="83"/>
      <c r="E67" s="83"/>
      <c r="F67" s="83"/>
      <c r="G67" s="83"/>
      <c r="H67" s="83"/>
      <c r="I67" s="83"/>
      <c r="J67" s="83"/>
      <c r="K67" s="147"/>
      <c r="M67" s="17"/>
      <c r="P67" s="42"/>
      <c r="Q67" s="42"/>
      <c r="R67" s="42"/>
    </row>
    <row r="68" spans="1:18" ht="12.75">
      <c r="A68" s="144"/>
      <c r="B68" s="83"/>
      <c r="C68" s="83"/>
      <c r="D68" s="85" t="s">
        <v>53</v>
      </c>
      <c r="E68" s="88"/>
      <c r="F68" s="164" t="s">
        <v>53</v>
      </c>
      <c r="G68" s="83"/>
      <c r="H68" s="154" t="s">
        <v>174</v>
      </c>
      <c r="I68" s="165"/>
      <c r="J68" s="166" t="str">
        <f>H68</f>
        <v>Period ended</v>
      </c>
      <c r="K68" s="147"/>
      <c r="M68" s="17"/>
      <c r="P68" s="42"/>
      <c r="Q68" s="42"/>
      <c r="R68" s="42"/>
    </row>
    <row r="69" spans="1:18" ht="12.75">
      <c r="A69" s="144"/>
      <c r="B69" s="83"/>
      <c r="C69" s="83"/>
      <c r="D69" s="86" t="s">
        <v>233</v>
      </c>
      <c r="E69" s="167"/>
      <c r="F69" s="168" t="s">
        <v>236</v>
      </c>
      <c r="G69" s="83"/>
      <c r="H69" s="86" t="str">
        <f>D69</f>
        <v>31/3/2013</v>
      </c>
      <c r="I69" s="167"/>
      <c r="J69" s="168" t="str">
        <f>F69</f>
        <v>31/3/2012</v>
      </c>
      <c r="K69" s="147"/>
      <c r="M69" s="17"/>
      <c r="P69" s="42"/>
      <c r="Q69" s="42"/>
      <c r="R69" s="42"/>
    </row>
    <row r="70" spans="1:18" ht="12.75">
      <c r="A70" s="144"/>
      <c r="B70" s="83"/>
      <c r="C70" s="83"/>
      <c r="D70" s="151" t="s">
        <v>5</v>
      </c>
      <c r="E70" s="83"/>
      <c r="F70" s="169" t="s">
        <v>5</v>
      </c>
      <c r="G70" s="83"/>
      <c r="H70" s="151" t="s">
        <v>5</v>
      </c>
      <c r="I70" s="83"/>
      <c r="J70" s="169" t="s">
        <v>5</v>
      </c>
      <c r="K70" s="147"/>
      <c r="M70" s="17"/>
      <c r="P70" s="42"/>
      <c r="Q70" s="42"/>
      <c r="R70" s="42"/>
    </row>
    <row r="71" spans="1:18" ht="12.75">
      <c r="A71" s="144" t="s">
        <v>47</v>
      </c>
      <c r="B71" s="83"/>
      <c r="C71" s="83"/>
      <c r="D71" s="151"/>
      <c r="E71" s="83"/>
      <c r="F71" s="169"/>
      <c r="G71" s="83"/>
      <c r="H71" s="151"/>
      <c r="I71" s="83"/>
      <c r="J71" s="169"/>
      <c r="K71" s="147"/>
      <c r="M71" s="17"/>
      <c r="P71" s="42"/>
      <c r="Q71" s="42"/>
      <c r="R71" s="42"/>
    </row>
    <row r="72" spans="1:18" ht="12.75">
      <c r="A72" s="167" t="s">
        <v>188</v>
      </c>
      <c r="B72" s="83"/>
      <c r="C72" s="83"/>
      <c r="D72" s="151"/>
      <c r="E72" s="83"/>
      <c r="F72" s="169"/>
      <c r="G72" s="83"/>
      <c r="H72" s="151"/>
      <c r="I72" s="83"/>
      <c r="J72" s="169"/>
      <c r="K72" s="147"/>
      <c r="M72" s="17"/>
      <c r="P72" s="42"/>
      <c r="Q72" s="42"/>
      <c r="R72" s="42"/>
    </row>
    <row r="73" spans="1:18" ht="7.5" customHeight="1">
      <c r="A73" s="167"/>
      <c r="B73" s="83"/>
      <c r="C73" s="83"/>
      <c r="D73" s="151"/>
      <c r="E73" s="83"/>
      <c r="F73" s="169"/>
      <c r="G73" s="83"/>
      <c r="H73" s="151"/>
      <c r="I73" s="83"/>
      <c r="J73" s="169"/>
      <c r="K73" s="147"/>
      <c r="M73" s="17"/>
      <c r="P73" s="42"/>
      <c r="Q73" s="42"/>
      <c r="R73" s="42"/>
    </row>
    <row r="74" spans="1:18" ht="13.5" thickBot="1">
      <c r="A74" s="167" t="s">
        <v>156</v>
      </c>
      <c r="B74" s="83"/>
      <c r="C74" s="83"/>
      <c r="D74" s="215">
        <f>H74+1717+1876</f>
        <v>-1829.6613800000005</v>
      </c>
      <c r="E74" s="83"/>
      <c r="F74" s="175">
        <f>J74+1573+1503</f>
        <v>-1432.653136380999</v>
      </c>
      <c r="G74" s="83"/>
      <c r="H74" s="215">
        <f>-'[3]M-GER95A.XLS'!$K$2048</f>
        <v>-5422.6613800000005</v>
      </c>
      <c r="I74" s="83"/>
      <c r="J74" s="175">
        <f>-'[2]M-GER95A.XLS'!$K$2047</f>
        <v>-4508.653136380999</v>
      </c>
      <c r="K74" s="147"/>
      <c r="M74" s="17"/>
      <c r="P74" s="42"/>
      <c r="Q74" s="42"/>
      <c r="R74" s="42"/>
    </row>
    <row r="75" spans="1:18" ht="13.5" thickTop="1">
      <c r="A75" s="144"/>
      <c r="B75" s="83"/>
      <c r="C75" s="83"/>
      <c r="D75" s="151"/>
      <c r="E75" s="83"/>
      <c r="F75" s="169"/>
      <c r="G75" s="83"/>
      <c r="H75" s="151"/>
      <c r="I75" s="83"/>
      <c r="J75" s="169"/>
      <c r="K75" s="147"/>
      <c r="M75" s="17"/>
      <c r="P75" s="42"/>
      <c r="Q75" s="42"/>
      <c r="R75" s="42"/>
    </row>
    <row r="76" spans="1:18" ht="12.75">
      <c r="A76" s="144" t="s">
        <v>48</v>
      </c>
      <c r="B76" s="83"/>
      <c r="C76" s="83"/>
      <c r="D76" s="151"/>
      <c r="E76" s="83"/>
      <c r="F76" s="169"/>
      <c r="G76" s="83"/>
      <c r="H76" s="151"/>
      <c r="I76" s="83"/>
      <c r="J76" s="169"/>
      <c r="K76" s="147"/>
      <c r="M76" s="17"/>
      <c r="P76" s="42"/>
      <c r="Q76" s="42"/>
      <c r="R76" s="42"/>
    </row>
    <row r="77" spans="1:18" ht="12.75">
      <c r="A77" s="167" t="s">
        <v>189</v>
      </c>
      <c r="B77" s="83"/>
      <c r="C77" s="83"/>
      <c r="D77" s="151"/>
      <c r="E77" s="83"/>
      <c r="F77" s="169"/>
      <c r="G77" s="83"/>
      <c r="H77" s="151"/>
      <c r="I77" s="83"/>
      <c r="J77" s="169"/>
      <c r="K77" s="147"/>
      <c r="M77" s="17"/>
      <c r="P77" s="42"/>
      <c r="Q77" s="42"/>
      <c r="R77" s="42"/>
    </row>
    <row r="78" spans="1:18" ht="7.5" customHeight="1">
      <c r="A78" s="167"/>
      <c r="B78" s="83"/>
      <c r="C78" s="83"/>
      <c r="D78" s="151"/>
      <c r="E78" s="83"/>
      <c r="F78" s="169"/>
      <c r="G78" s="83"/>
      <c r="H78" s="151"/>
      <c r="I78" s="83"/>
      <c r="J78" s="169"/>
      <c r="K78" s="147"/>
      <c r="M78" s="17"/>
      <c r="P78" s="42"/>
      <c r="Q78" s="42"/>
      <c r="R78" s="42"/>
    </row>
    <row r="79" spans="1:18" ht="13.5" thickBot="1">
      <c r="A79" s="167" t="s">
        <v>156</v>
      </c>
      <c r="B79" s="83"/>
      <c r="C79" s="83"/>
      <c r="D79" s="215">
        <f>H79+37+35</f>
        <v>-44</v>
      </c>
      <c r="E79" s="83"/>
      <c r="F79" s="175">
        <f>J79+37+36</f>
        <v>-40</v>
      </c>
      <c r="G79" s="83"/>
      <c r="H79" s="215">
        <f>-'[3]M-GER95A.XLS'!$K$743</f>
        <v>-116</v>
      </c>
      <c r="I79" s="83"/>
      <c r="J79" s="175">
        <f>-'[2]M-GER95A.XLS'!$K$742</f>
        <v>-113</v>
      </c>
      <c r="K79" s="147"/>
      <c r="M79" s="17"/>
      <c r="P79" s="42"/>
      <c r="Q79" s="42"/>
      <c r="R79" s="42"/>
    </row>
    <row r="80" spans="1:18" ht="13.5" thickTop="1">
      <c r="A80" s="144"/>
      <c r="B80" s="83"/>
      <c r="C80" s="83"/>
      <c r="D80" s="151"/>
      <c r="E80" s="83"/>
      <c r="F80" s="169"/>
      <c r="G80" s="83"/>
      <c r="H80" s="151"/>
      <c r="I80" s="83"/>
      <c r="J80" s="169"/>
      <c r="K80" s="147"/>
      <c r="M80" s="17"/>
      <c r="P80" s="42"/>
      <c r="Q80" s="42"/>
      <c r="R80" s="42"/>
    </row>
    <row r="81" spans="1:18" ht="12.75">
      <c r="A81" s="144" t="s">
        <v>61</v>
      </c>
      <c r="B81" s="83"/>
      <c r="C81" s="83"/>
      <c r="D81" s="144"/>
      <c r="E81" s="83"/>
      <c r="F81" s="83"/>
      <c r="G81" s="83"/>
      <c r="H81" s="144"/>
      <c r="I81" s="83"/>
      <c r="J81" s="83"/>
      <c r="K81" s="147"/>
      <c r="L81" s="68"/>
      <c r="M81" s="123"/>
      <c r="O81" s="42"/>
      <c r="P81" s="42"/>
      <c r="Q81" s="42"/>
      <c r="R81" s="42"/>
    </row>
    <row r="82" spans="1:18" ht="12.75">
      <c r="A82" s="167" t="s">
        <v>143</v>
      </c>
      <c r="B82" s="83"/>
      <c r="C82" s="83"/>
      <c r="D82" s="144"/>
      <c r="E82" s="83"/>
      <c r="F82" s="83"/>
      <c r="G82" s="83"/>
      <c r="H82" s="144"/>
      <c r="I82" s="83"/>
      <c r="J82" s="83"/>
      <c r="K82" s="147"/>
      <c r="L82" s="68"/>
      <c r="M82" s="123"/>
      <c r="O82" s="42"/>
      <c r="P82" s="42"/>
      <c r="Q82" s="42"/>
      <c r="R82" s="42"/>
    </row>
    <row r="83" spans="1:18" ht="7.5" customHeight="1">
      <c r="A83" s="167"/>
      <c r="B83" s="83"/>
      <c r="C83" s="83"/>
      <c r="D83" s="144"/>
      <c r="E83" s="83"/>
      <c r="F83" s="83"/>
      <c r="G83" s="83"/>
      <c r="H83" s="144"/>
      <c r="I83" s="83"/>
      <c r="J83" s="83"/>
      <c r="K83" s="147"/>
      <c r="L83" s="68"/>
      <c r="M83" s="123"/>
      <c r="O83" s="42"/>
      <c r="P83" s="42"/>
      <c r="Q83" s="42"/>
      <c r="R83" s="42"/>
    </row>
    <row r="84" spans="1:18" ht="13.5" customHeight="1">
      <c r="A84" s="167" t="s">
        <v>158</v>
      </c>
      <c r="B84" s="83"/>
      <c r="C84" s="83"/>
      <c r="D84" s="151">
        <f>H84+28+28</f>
        <v>-479.8696199999995</v>
      </c>
      <c r="E84" s="83"/>
      <c r="F84" s="169">
        <f>J84+29-27</f>
        <v>-656</v>
      </c>
      <c r="G84" s="83"/>
      <c r="H84" s="151">
        <f>-'[3]M-GER95A.XLS'!$Q$462</f>
        <v>-535.8696199999995</v>
      </c>
      <c r="I84" s="83"/>
      <c r="J84" s="169">
        <f>-'[2]M-GER95A.XLS'!$Q$462</f>
        <v>-658</v>
      </c>
      <c r="K84" s="147"/>
      <c r="L84" s="68"/>
      <c r="M84" s="123"/>
      <c r="O84" s="42"/>
      <c r="P84" s="42"/>
      <c r="Q84" s="42"/>
      <c r="R84" s="42"/>
    </row>
    <row r="85" spans="1:18" ht="13.5" customHeight="1">
      <c r="A85" s="167" t="s">
        <v>156</v>
      </c>
      <c r="B85" s="83"/>
      <c r="C85" s="83"/>
      <c r="D85" s="144">
        <f>H85+493+479</f>
        <v>-478.092854793</v>
      </c>
      <c r="E85" s="83"/>
      <c r="F85" s="83">
        <f>J85+388+445</f>
        <v>-585.3594149110002</v>
      </c>
      <c r="G85" s="83"/>
      <c r="H85" s="144">
        <f>-'[3]M-GER95A.XLS'!$K$742*0-'[3]M-GER95A.XLS'!$K$435</f>
        <v>-1450.092854793</v>
      </c>
      <c r="I85" s="83"/>
      <c r="J85" s="83">
        <f>-'[2]M-GER95A.XLS'!$Q$435</f>
        <v>-1418.3594149110002</v>
      </c>
      <c r="K85" s="147"/>
      <c r="L85" s="68"/>
      <c r="M85" s="68"/>
      <c r="O85" s="42"/>
      <c r="P85" s="42"/>
      <c r="Q85" s="42"/>
      <c r="R85" s="42"/>
    </row>
    <row r="86" spans="1:18" ht="12.75">
      <c r="A86" s="167" t="s">
        <v>258</v>
      </c>
      <c r="B86" s="83"/>
      <c r="C86" s="83"/>
      <c r="D86" s="216"/>
      <c r="E86" s="88"/>
      <c r="F86" s="88"/>
      <c r="G86" s="88"/>
      <c r="H86" s="88"/>
      <c r="I86" s="88"/>
      <c r="J86" s="88"/>
      <c r="K86" s="147"/>
      <c r="L86" s="68"/>
      <c r="M86" s="68"/>
      <c r="O86" s="42"/>
      <c r="P86" s="42"/>
      <c r="Q86" s="42"/>
      <c r="R86" s="42"/>
    </row>
    <row r="87" spans="1:18" ht="12.75">
      <c r="A87" s="167" t="s">
        <v>225</v>
      </c>
      <c r="B87" s="83"/>
      <c r="C87" s="83"/>
      <c r="D87" s="144">
        <f>0</f>
        <v>0</v>
      </c>
      <c r="E87" s="88"/>
      <c r="F87" s="124">
        <f>J87+22562-479</f>
        <v>18220</v>
      </c>
      <c r="G87" s="88"/>
      <c r="H87" s="151">
        <f>-'[3]M-GER95A.XLS'!$Q$481</f>
        <v>0</v>
      </c>
      <c r="I87" s="88"/>
      <c r="J87" s="124">
        <f>-22083+18220</f>
        <v>-3863</v>
      </c>
      <c r="K87" s="147"/>
      <c r="L87" s="68"/>
      <c r="M87" s="68"/>
      <c r="O87" s="42"/>
      <c r="P87" s="42"/>
      <c r="Q87" s="42"/>
      <c r="R87" s="42"/>
    </row>
    <row r="88" spans="1:18" ht="12.75">
      <c r="A88" s="167" t="s">
        <v>257</v>
      </c>
      <c r="B88" s="83"/>
      <c r="C88" s="83"/>
      <c r="D88" s="144"/>
      <c r="E88" s="88"/>
      <c r="F88" s="124"/>
      <c r="G88" s="88"/>
      <c r="H88" s="151"/>
      <c r="I88" s="88"/>
      <c r="J88" s="124"/>
      <c r="K88" s="147"/>
      <c r="L88" s="68"/>
      <c r="M88" s="68"/>
      <c r="O88" s="42"/>
      <c r="P88" s="42"/>
      <c r="Q88" s="42"/>
      <c r="R88" s="42"/>
    </row>
    <row r="89" spans="1:18" ht="12.75">
      <c r="A89" s="167" t="s">
        <v>190</v>
      </c>
      <c r="B89" s="83"/>
      <c r="C89" s="83"/>
      <c r="D89" s="144">
        <f>H89+56+14</f>
        <v>-1677.994197699</v>
      </c>
      <c r="E89" s="88"/>
      <c r="F89" s="124">
        <f>J89+1473-1473</f>
        <v>0</v>
      </c>
      <c r="G89" s="88"/>
      <c r="H89" s="151">
        <f>-'[3]M-GER95A.XLS'!$Q$472</f>
        <v>-1747.994197699</v>
      </c>
      <c r="I89" s="88"/>
      <c r="J89" s="124">
        <f>0</f>
        <v>0</v>
      </c>
      <c r="K89" s="147"/>
      <c r="L89" s="68"/>
      <c r="M89" s="68"/>
      <c r="O89" s="42"/>
      <c r="P89" s="42"/>
      <c r="Q89" s="42"/>
      <c r="R89" s="42"/>
    </row>
    <row r="90" spans="1:18" ht="12.75">
      <c r="A90" s="167" t="s">
        <v>191</v>
      </c>
      <c r="B90" s="83"/>
      <c r="C90" s="83"/>
      <c r="D90" s="144">
        <f>H90+755+616</f>
        <v>406.126507954</v>
      </c>
      <c r="E90" s="88"/>
      <c r="F90" s="124">
        <f>J90+6918+3627</f>
        <v>2525</v>
      </c>
      <c r="G90" s="88"/>
      <c r="H90" s="151">
        <f>-'[3]M-GER95A.XLS'!$Q$463</f>
        <v>-964.873492046</v>
      </c>
      <c r="I90" s="88"/>
      <c r="J90" s="124">
        <f>-8020</f>
        <v>-8020</v>
      </c>
      <c r="K90" s="147"/>
      <c r="L90" s="68"/>
      <c r="M90" s="68"/>
      <c r="O90" s="42"/>
      <c r="P90" s="42"/>
      <c r="Q90" s="42"/>
      <c r="R90" s="42"/>
    </row>
    <row r="91" spans="1:18" ht="13.5" thickBot="1">
      <c r="A91" s="167" t="s">
        <v>159</v>
      </c>
      <c r="B91" s="83"/>
      <c r="C91" s="83"/>
      <c r="D91" s="217">
        <f>H91+27-23</f>
        <v>-0.5596800000000002</v>
      </c>
      <c r="E91" s="88"/>
      <c r="F91" s="170">
        <f>J91+628</f>
        <v>-248</v>
      </c>
      <c r="G91" s="88"/>
      <c r="H91" s="217">
        <f>'[3]MRYTD'!$U$26+'[3]MRYTD'!$V$26+'[3]MRYTD'!$W$26</f>
        <v>-4.55968</v>
      </c>
      <c r="I91" s="88"/>
      <c r="J91" s="170">
        <f>-876</f>
        <v>-876</v>
      </c>
      <c r="K91" s="147"/>
      <c r="L91" s="68"/>
      <c r="M91" s="68"/>
      <c r="O91" s="42"/>
      <c r="P91" s="42"/>
      <c r="Q91" s="42"/>
      <c r="R91" s="42"/>
    </row>
    <row r="92" spans="1:18" ht="13.5" thickTop="1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147"/>
      <c r="L92" s="68"/>
      <c r="M92" s="68"/>
      <c r="O92" s="42"/>
      <c r="P92" s="42"/>
      <c r="Q92" s="42"/>
      <c r="R92" s="42"/>
    </row>
    <row r="93" spans="1:18" ht="12.75">
      <c r="A93" s="144" t="s">
        <v>155</v>
      </c>
      <c r="B93" s="83"/>
      <c r="C93" s="83"/>
      <c r="D93" s="216"/>
      <c r="E93" s="88"/>
      <c r="F93" s="124"/>
      <c r="G93" s="88"/>
      <c r="H93" s="216"/>
      <c r="I93" s="88"/>
      <c r="J93" s="124"/>
      <c r="K93" s="147"/>
      <c r="L93" s="68"/>
      <c r="M93" s="68"/>
      <c r="O93" s="42"/>
      <c r="P93" s="42"/>
      <c r="Q93" s="42"/>
      <c r="R93" s="42"/>
    </row>
    <row r="94" spans="1:18" ht="12.75">
      <c r="A94" s="167" t="s">
        <v>144</v>
      </c>
      <c r="B94" s="83"/>
      <c r="C94" s="83"/>
      <c r="D94" s="216"/>
      <c r="E94" s="88"/>
      <c r="F94" s="124"/>
      <c r="G94" s="88"/>
      <c r="H94" s="216"/>
      <c r="I94" s="88"/>
      <c r="J94" s="124"/>
      <c r="K94" s="147"/>
      <c r="L94" s="68"/>
      <c r="M94" s="68"/>
      <c r="O94" s="42"/>
      <c r="P94" s="42"/>
      <c r="Q94" s="42"/>
      <c r="R94" s="42"/>
    </row>
    <row r="95" spans="1:18" ht="7.5" customHeight="1">
      <c r="A95" s="167"/>
      <c r="B95" s="83"/>
      <c r="C95" s="83"/>
      <c r="D95" s="216"/>
      <c r="E95" s="88"/>
      <c r="F95" s="124"/>
      <c r="G95" s="88"/>
      <c r="H95" s="216"/>
      <c r="I95" s="88"/>
      <c r="J95" s="124"/>
      <c r="K95" s="147"/>
      <c r="L95" s="68"/>
      <c r="M95" s="68"/>
      <c r="O95" s="42"/>
      <c r="P95" s="42"/>
      <c r="Q95" s="42"/>
      <c r="R95" s="42"/>
    </row>
    <row r="96" spans="1:18" ht="15" customHeight="1">
      <c r="A96" s="167" t="s">
        <v>153</v>
      </c>
      <c r="B96" s="83"/>
      <c r="C96" s="83"/>
      <c r="D96" s="216">
        <f>H96-73+73</f>
        <v>0</v>
      </c>
      <c r="E96" s="88"/>
      <c r="F96" s="124">
        <f>J96-2400-7</f>
        <v>-7</v>
      </c>
      <c r="G96" s="88"/>
      <c r="H96" s="216">
        <f>'[3]M-GER95A.XLS'!$Q$623</f>
        <v>0</v>
      </c>
      <c r="I96" s="88"/>
      <c r="J96" s="124">
        <f>'[2]M-GER95A.XLS'!$Q$622</f>
        <v>2400</v>
      </c>
      <c r="K96" s="147"/>
      <c r="L96" s="68"/>
      <c r="M96" s="68"/>
      <c r="O96" s="42"/>
      <c r="P96" s="42"/>
      <c r="Q96" s="42"/>
      <c r="R96" s="42"/>
    </row>
    <row r="97" spans="1:18" ht="15" customHeight="1">
      <c r="A97" s="167" t="s">
        <v>259</v>
      </c>
      <c r="B97" s="83"/>
      <c r="C97" s="83"/>
      <c r="D97" s="88"/>
      <c r="E97" s="88"/>
      <c r="F97" s="88"/>
      <c r="G97" s="88"/>
      <c r="H97" s="88"/>
      <c r="I97" s="88"/>
      <c r="J97" s="88"/>
      <c r="K97" s="147"/>
      <c r="L97" s="68"/>
      <c r="M97" s="68"/>
      <c r="O97" s="42"/>
      <c r="P97" s="42"/>
      <c r="Q97" s="42"/>
      <c r="R97" s="42"/>
    </row>
    <row r="98" spans="1:18" ht="15" customHeight="1">
      <c r="A98" s="167" t="s">
        <v>261</v>
      </c>
      <c r="B98" s="83"/>
      <c r="C98" s="83"/>
      <c r="D98" s="216">
        <f>H98-4786+203</f>
        <v>-2281.9916</v>
      </c>
      <c r="E98" s="88"/>
      <c r="F98" s="124">
        <f>J98-4126</f>
        <v>4583</v>
      </c>
      <c r="G98" s="88"/>
      <c r="H98" s="216">
        <f>'[3]M-GER95A.XLS'!$Q$668</f>
        <v>2301.0084</v>
      </c>
      <c r="I98" s="88"/>
      <c r="J98" s="124">
        <f>9015-306</f>
        <v>8709</v>
      </c>
      <c r="K98" s="147"/>
      <c r="L98" s="68"/>
      <c r="M98" s="68"/>
      <c r="O98" s="42"/>
      <c r="P98" s="42"/>
      <c r="Q98" s="42"/>
      <c r="R98" s="42"/>
    </row>
    <row r="99" spans="1:18" ht="15" customHeight="1">
      <c r="A99" s="167" t="s">
        <v>34</v>
      </c>
      <c r="B99" s="83"/>
      <c r="C99" s="83"/>
      <c r="D99" s="216">
        <f>+H99-2793-1139</f>
        <v>1778.4591669300007</v>
      </c>
      <c r="E99" s="88"/>
      <c r="F99" s="124">
        <f>J99-2916-1778</f>
        <v>1984.6261451520004</v>
      </c>
      <c r="G99" s="88"/>
      <c r="H99" s="216">
        <f>'[3]M-GER95A.XLS'!$R$659</f>
        <v>5710.459166930001</v>
      </c>
      <c r="I99" s="88"/>
      <c r="J99" s="124">
        <f>'[2]M-GER95A.XLS'!$R$658</f>
        <v>6678.626145152</v>
      </c>
      <c r="K99" s="147"/>
      <c r="L99" s="68"/>
      <c r="M99" s="68"/>
      <c r="O99" s="42"/>
      <c r="P99" s="42"/>
      <c r="Q99" s="42"/>
      <c r="R99" s="42"/>
    </row>
    <row r="100" spans="1:18" ht="15" customHeight="1">
      <c r="A100" s="167" t="s">
        <v>260</v>
      </c>
      <c r="B100" s="83"/>
      <c r="C100" s="83"/>
      <c r="D100" s="216"/>
      <c r="E100" s="88"/>
      <c r="F100" s="124"/>
      <c r="G100" s="88"/>
      <c r="H100" s="216"/>
      <c r="I100" s="88"/>
      <c r="J100" s="124"/>
      <c r="K100" s="147"/>
      <c r="L100" s="68"/>
      <c r="M100" s="68"/>
      <c r="O100" s="42"/>
      <c r="P100" s="42"/>
      <c r="Q100" s="42"/>
      <c r="R100" s="42"/>
    </row>
    <row r="101" spans="1:18" ht="15" customHeight="1">
      <c r="A101" s="167" t="s">
        <v>190</v>
      </c>
      <c r="B101" s="83"/>
      <c r="C101" s="83"/>
      <c r="D101" s="216">
        <f>H101-82-6700</f>
        <v>-1940.8795</v>
      </c>
      <c r="E101" s="88"/>
      <c r="F101" s="124">
        <f>J101-159-135</f>
        <v>142.958842236</v>
      </c>
      <c r="G101" s="88"/>
      <c r="H101" s="216">
        <f>'[3]M-GER95A.XLS'!$Q$640</f>
        <v>4841.1205</v>
      </c>
      <c r="I101" s="88"/>
      <c r="J101" s="124">
        <f>'[2]M-GER95A.XLS'!$Q$639</f>
        <v>436.958842236</v>
      </c>
      <c r="K101" s="147"/>
      <c r="L101" s="68"/>
      <c r="M101" s="68"/>
      <c r="O101" s="42"/>
      <c r="P101" s="42"/>
      <c r="Q101" s="42"/>
      <c r="R101" s="42"/>
    </row>
    <row r="102" spans="1:18" ht="15" customHeight="1">
      <c r="A102" s="167" t="s">
        <v>191</v>
      </c>
      <c r="B102" s="83"/>
      <c r="C102" s="83"/>
      <c r="D102" s="216">
        <f>H102-7299+3979</f>
        <v>-126.97831782100002</v>
      </c>
      <c r="E102" s="88"/>
      <c r="F102" s="124">
        <f>J102-393-888</f>
        <v>-804.8736312139999</v>
      </c>
      <c r="G102" s="88"/>
      <c r="H102" s="216">
        <f>'[3]M-GER95A.XLS'!$Q$622</f>
        <v>3193.021682179</v>
      </c>
      <c r="I102" s="88"/>
      <c r="J102" s="124">
        <f>'[2]M-GER95A.XLS'!$Q$621</f>
        <v>476.126368786</v>
      </c>
      <c r="K102" s="147"/>
      <c r="L102" s="68"/>
      <c r="M102" s="68"/>
      <c r="O102" s="42"/>
      <c r="P102" s="42"/>
      <c r="Q102" s="42"/>
      <c r="R102" s="42"/>
    </row>
    <row r="103" spans="1:18" ht="12.75">
      <c r="A103" s="167" t="s">
        <v>224</v>
      </c>
      <c r="B103" s="83"/>
      <c r="C103" s="83"/>
      <c r="D103" s="101"/>
      <c r="E103" s="88"/>
      <c r="F103" s="88"/>
      <c r="G103" s="88"/>
      <c r="H103" s="101"/>
      <c r="I103" s="88"/>
      <c r="J103" s="88"/>
      <c r="K103" s="147"/>
      <c r="L103" s="68"/>
      <c r="M103" s="68"/>
      <c r="O103" s="42"/>
      <c r="P103" s="42"/>
      <c r="Q103" s="42"/>
      <c r="R103" s="42"/>
    </row>
    <row r="104" spans="1:18" ht="13.5" thickBot="1">
      <c r="A104" s="143" t="s">
        <v>225</v>
      </c>
      <c r="B104" s="83"/>
      <c r="C104" s="83"/>
      <c r="D104" s="217">
        <f>+H104-10722-19442</f>
        <v>3068.4712</v>
      </c>
      <c r="E104" s="88"/>
      <c r="F104" s="170">
        <f>J104</f>
        <v>0</v>
      </c>
      <c r="G104" s="83"/>
      <c r="H104" s="217">
        <f>'[3]MRYTD'!$Y$263</f>
        <v>33232.4712</v>
      </c>
      <c r="I104" s="83"/>
      <c r="J104" s="170">
        <f>0</f>
        <v>0</v>
      </c>
      <c r="K104" s="147"/>
      <c r="L104" s="68"/>
      <c r="M104" s="68"/>
      <c r="O104" s="42"/>
      <c r="P104" s="42"/>
      <c r="Q104" s="42"/>
      <c r="R104" s="42"/>
    </row>
    <row r="105" spans="1:18" ht="13.5" thickTop="1">
      <c r="A105" s="167"/>
      <c r="B105" s="83"/>
      <c r="C105" s="83"/>
      <c r="D105" s="144"/>
      <c r="E105" s="83"/>
      <c r="F105" s="83"/>
      <c r="G105" s="83"/>
      <c r="H105" s="144"/>
      <c r="I105" s="83"/>
      <c r="J105" s="83"/>
      <c r="K105" s="147"/>
      <c r="L105" s="68"/>
      <c r="M105" s="68"/>
      <c r="O105" s="42"/>
      <c r="P105" s="42"/>
      <c r="Q105" s="42"/>
      <c r="R105" s="42"/>
    </row>
    <row r="106" spans="1:18" ht="12.75">
      <c r="A106" s="150" t="s">
        <v>157</v>
      </c>
      <c r="B106" s="83"/>
      <c r="C106" s="83"/>
      <c r="D106" s="144"/>
      <c r="E106" s="83"/>
      <c r="F106" s="83"/>
      <c r="G106" s="83"/>
      <c r="H106" s="144"/>
      <c r="I106" s="83"/>
      <c r="J106" s="83"/>
      <c r="K106" s="147"/>
      <c r="L106" s="68"/>
      <c r="O106" s="42"/>
      <c r="P106" s="42"/>
      <c r="Q106" s="42"/>
      <c r="R106" s="42"/>
    </row>
    <row r="107" spans="1:18" ht="12.75">
      <c r="A107" s="167" t="s">
        <v>145</v>
      </c>
      <c r="B107" s="83"/>
      <c r="C107" s="83"/>
      <c r="D107" s="151"/>
      <c r="E107" s="83"/>
      <c r="F107" s="169"/>
      <c r="G107" s="83"/>
      <c r="H107" s="151"/>
      <c r="I107" s="83"/>
      <c r="J107" s="169"/>
      <c r="K107" s="147"/>
      <c r="L107" s="68"/>
      <c r="O107" s="42"/>
      <c r="P107" s="42"/>
      <c r="Q107" s="42"/>
      <c r="R107" s="42"/>
    </row>
    <row r="108" spans="1:18" ht="7.5" customHeight="1">
      <c r="A108" s="167"/>
      <c r="B108" s="83"/>
      <c r="C108" s="83"/>
      <c r="D108" s="151"/>
      <c r="E108" s="83"/>
      <c r="F108" s="169"/>
      <c r="G108" s="83"/>
      <c r="H108" s="151"/>
      <c r="I108" s="83"/>
      <c r="J108" s="169"/>
      <c r="K108" s="147"/>
      <c r="L108" s="68"/>
      <c r="O108" s="42"/>
      <c r="P108" s="42"/>
      <c r="Q108" s="42"/>
      <c r="R108" s="42"/>
    </row>
    <row r="109" spans="1:18" ht="12.75" customHeight="1">
      <c r="A109" s="167" t="s">
        <v>218</v>
      </c>
      <c r="B109" s="83"/>
      <c r="C109" s="83"/>
      <c r="D109" s="151">
        <f>0</f>
        <v>0</v>
      </c>
      <c r="E109" s="83"/>
      <c r="F109" s="169">
        <f>9151*0</f>
        <v>0</v>
      </c>
      <c r="G109" s="83"/>
      <c r="H109" s="151">
        <f>0</f>
        <v>0</v>
      </c>
      <c r="I109" s="83"/>
      <c r="J109" s="169">
        <f>F109+9151</f>
        <v>9151</v>
      </c>
      <c r="K109" s="147"/>
      <c r="L109" s="68"/>
      <c r="O109" s="42"/>
      <c r="P109" s="42"/>
      <c r="Q109" s="42"/>
      <c r="R109" s="42"/>
    </row>
    <row r="110" spans="1:18" ht="12.75">
      <c r="A110" s="167" t="s">
        <v>154</v>
      </c>
      <c r="B110" s="83"/>
      <c r="C110" s="83"/>
      <c r="D110" s="151"/>
      <c r="E110" s="83"/>
      <c r="F110" s="169"/>
      <c r="G110" s="83"/>
      <c r="H110" s="151"/>
      <c r="I110" s="83"/>
      <c r="J110" s="169"/>
      <c r="K110" s="147"/>
      <c r="L110" s="68"/>
      <c r="O110" s="42"/>
      <c r="P110" s="42"/>
      <c r="Q110" s="42"/>
      <c r="R110" s="42"/>
    </row>
    <row r="111" spans="1:18" ht="13.5" thickBot="1">
      <c r="A111" s="167" t="s">
        <v>141</v>
      </c>
      <c r="B111" s="83"/>
      <c r="C111" s="83"/>
      <c r="D111" s="215">
        <f>0</f>
        <v>0</v>
      </c>
      <c r="E111" s="83"/>
      <c r="F111" s="175">
        <f>J111-5112</f>
        <v>0</v>
      </c>
      <c r="G111" s="83"/>
      <c r="H111" s="215">
        <f>'[3]M-GER95A.XLS'!$H$246</f>
        <v>144.5325650566183</v>
      </c>
      <c r="I111" s="83"/>
      <c r="J111" s="175">
        <f>5112+9151*0</f>
        <v>5112</v>
      </c>
      <c r="K111" s="147"/>
      <c r="L111" s="68"/>
      <c r="O111" s="42"/>
      <c r="P111" s="42"/>
      <c r="Q111" s="42"/>
      <c r="R111" s="42"/>
    </row>
    <row r="112" spans="1:18" ht="13.5" thickTop="1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147"/>
      <c r="L112" s="42"/>
      <c r="M112" s="42"/>
      <c r="N112" s="42"/>
      <c r="O112" s="42"/>
      <c r="P112" s="42"/>
      <c r="Q112" s="42"/>
      <c r="R112" s="42"/>
    </row>
    <row r="113" spans="1:18" ht="12.75">
      <c r="A113" s="236" t="s">
        <v>253</v>
      </c>
      <c r="B113" s="236"/>
      <c r="C113" s="236"/>
      <c r="D113" s="236"/>
      <c r="E113" s="236"/>
      <c r="F113" s="236"/>
      <c r="G113" s="236"/>
      <c r="H113" s="236"/>
      <c r="I113" s="236"/>
      <c r="J113" s="236"/>
      <c r="K113" s="88"/>
      <c r="L113" s="42"/>
      <c r="M113" s="42"/>
      <c r="N113" s="42"/>
      <c r="O113" s="42"/>
      <c r="P113" s="42"/>
      <c r="Q113" s="42"/>
      <c r="R113" s="42"/>
    </row>
    <row r="114" spans="1:18" ht="12.75">
      <c r="A114" s="194" t="s">
        <v>256</v>
      </c>
      <c r="B114" s="194"/>
      <c r="C114" s="194"/>
      <c r="D114" s="194"/>
      <c r="E114" s="194"/>
      <c r="F114" s="194"/>
      <c r="G114" s="194"/>
      <c r="H114" s="194"/>
      <c r="I114" s="194"/>
      <c r="J114" s="194"/>
      <c r="K114" s="194"/>
      <c r="L114" s="42"/>
      <c r="M114" s="42"/>
      <c r="N114" s="42"/>
      <c r="O114" s="42"/>
      <c r="P114" s="42"/>
      <c r="Q114" s="42"/>
      <c r="R114" s="42"/>
    </row>
    <row r="115" spans="1:18" ht="12.75">
      <c r="A115" s="236" t="s">
        <v>209</v>
      </c>
      <c r="B115" s="236"/>
      <c r="C115" s="236"/>
      <c r="D115" s="236"/>
      <c r="E115" s="236"/>
      <c r="F115" s="236"/>
      <c r="G115" s="236"/>
      <c r="H115" s="236"/>
      <c r="I115" s="236"/>
      <c r="J115" s="236"/>
      <c r="K115" s="88"/>
      <c r="M115" s="42"/>
      <c r="N115" s="42"/>
      <c r="O115" s="42"/>
      <c r="P115" s="42"/>
      <c r="Q115" s="42"/>
      <c r="R115" s="42"/>
    </row>
    <row r="116" spans="1:18" ht="12.7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M116" s="42"/>
      <c r="N116" s="42"/>
      <c r="O116" s="42"/>
      <c r="P116" s="42"/>
      <c r="Q116" s="42"/>
      <c r="R116" s="42"/>
    </row>
    <row r="117" spans="1:18" ht="12.7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M117" s="42"/>
      <c r="N117" s="42"/>
      <c r="O117" s="42"/>
      <c r="P117" s="42"/>
      <c r="Q117" s="42"/>
      <c r="R117" s="42"/>
    </row>
    <row r="118" spans="1:18" ht="12.7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M118" s="42"/>
      <c r="N118" s="42"/>
      <c r="O118" s="42"/>
      <c r="P118" s="42"/>
      <c r="Q118" s="42"/>
      <c r="R118" s="42"/>
    </row>
    <row r="119" spans="1:18" ht="12.7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M119" s="42"/>
      <c r="N119" s="42"/>
      <c r="O119" s="42"/>
      <c r="P119" s="42"/>
      <c r="Q119" s="42"/>
      <c r="R119" s="42"/>
    </row>
    <row r="120" spans="1:18" ht="12.7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M120" s="42"/>
      <c r="N120" s="42"/>
      <c r="O120" s="42"/>
      <c r="P120" s="42"/>
      <c r="Q120" s="42"/>
      <c r="R120" s="42"/>
    </row>
    <row r="121" spans="1:18" ht="12.7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M121" s="42"/>
      <c r="N121" s="42"/>
      <c r="O121" s="42"/>
      <c r="P121" s="42"/>
      <c r="Q121" s="42"/>
      <c r="R121" s="42"/>
    </row>
    <row r="122" spans="1:18" ht="12.7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M122" s="42"/>
      <c r="N122" s="42"/>
      <c r="O122" s="42"/>
      <c r="P122" s="42"/>
      <c r="Q122" s="42"/>
      <c r="R122" s="42"/>
    </row>
    <row r="123" spans="1:18" ht="12.7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M123" s="42"/>
      <c r="N123" s="42"/>
      <c r="O123" s="42"/>
      <c r="P123" s="42"/>
      <c r="Q123" s="42"/>
      <c r="R123" s="42"/>
    </row>
    <row r="124" spans="1:18" ht="12.7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M124" s="42"/>
      <c r="N124" s="42"/>
      <c r="O124" s="42"/>
      <c r="P124" s="42"/>
      <c r="Q124" s="42"/>
      <c r="R124" s="42"/>
    </row>
    <row r="125" spans="1:18" ht="12.7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M125" s="42"/>
      <c r="N125" s="42"/>
      <c r="O125" s="42"/>
      <c r="P125" s="42"/>
      <c r="Q125" s="42"/>
      <c r="R125" s="42"/>
    </row>
    <row r="126" spans="1:18" ht="12.7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M126" s="42"/>
      <c r="N126" s="42"/>
      <c r="O126" s="42"/>
      <c r="P126" s="42"/>
      <c r="Q126" s="42"/>
      <c r="R126" s="42"/>
    </row>
    <row r="127" spans="1:18" ht="12.75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147"/>
      <c r="L127" s="42"/>
      <c r="M127" s="42"/>
      <c r="N127" s="42"/>
      <c r="O127" s="42"/>
      <c r="P127" s="42"/>
      <c r="Q127" s="42"/>
      <c r="R127" s="42"/>
    </row>
    <row r="128" spans="1:18" ht="12.75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147"/>
      <c r="L128" s="42"/>
      <c r="M128" s="42"/>
      <c r="N128" s="42"/>
      <c r="O128" s="42"/>
      <c r="P128" s="42"/>
      <c r="Q128" s="42"/>
      <c r="R128" s="42"/>
    </row>
    <row r="129" spans="1:18" ht="12.75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147"/>
      <c r="L129" s="42"/>
      <c r="M129" s="42"/>
      <c r="N129" s="42"/>
      <c r="O129" s="42"/>
      <c r="P129" s="42"/>
      <c r="Q129" s="42"/>
      <c r="R129" s="42"/>
    </row>
    <row r="130" spans="1:18" ht="12.75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147"/>
      <c r="L130" s="42"/>
      <c r="M130" s="42"/>
      <c r="N130" s="42"/>
      <c r="O130" s="42"/>
      <c r="P130" s="42"/>
      <c r="Q130" s="42"/>
      <c r="R130" s="42"/>
    </row>
    <row r="131" spans="1:18" ht="12.75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147"/>
      <c r="L131" s="42"/>
      <c r="M131" s="42"/>
      <c r="N131" s="42"/>
      <c r="O131" s="42"/>
      <c r="P131" s="42"/>
      <c r="Q131" s="42"/>
      <c r="R131" s="42"/>
    </row>
    <row r="132" spans="1:18" ht="12.75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147"/>
      <c r="L132" s="42"/>
      <c r="M132" s="42"/>
      <c r="N132" s="42"/>
      <c r="O132" s="42"/>
      <c r="P132" s="42"/>
      <c r="Q132" s="42"/>
      <c r="R132" s="42"/>
    </row>
    <row r="133" spans="1:18" ht="12.75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147"/>
      <c r="L133" s="42"/>
      <c r="M133" s="42"/>
      <c r="N133" s="42"/>
      <c r="O133" s="42"/>
      <c r="P133" s="42"/>
      <c r="Q133" s="42"/>
      <c r="R133" s="42"/>
    </row>
    <row r="134" spans="1:18" ht="12.75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147"/>
      <c r="L134" s="42"/>
      <c r="M134" s="42"/>
      <c r="N134" s="42"/>
      <c r="O134" s="42"/>
      <c r="P134" s="42"/>
      <c r="Q134" s="42"/>
      <c r="R134" s="42"/>
    </row>
    <row r="135" spans="1:18" ht="12.75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147"/>
      <c r="L135" s="42"/>
      <c r="M135" s="42"/>
      <c r="N135" s="42"/>
      <c r="O135" s="42"/>
      <c r="P135" s="42"/>
      <c r="Q135" s="42"/>
      <c r="R135" s="42"/>
    </row>
    <row r="136" spans="1:18" ht="12.75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147"/>
      <c r="L136" s="42"/>
      <c r="M136" s="42"/>
      <c r="N136" s="42"/>
      <c r="O136" s="42"/>
      <c r="P136" s="42"/>
      <c r="Q136" s="42"/>
      <c r="R136" s="42"/>
    </row>
    <row r="137" spans="1:18" ht="12.75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147"/>
      <c r="L137" s="42"/>
      <c r="M137" s="42"/>
      <c r="N137" s="42"/>
      <c r="O137" s="42"/>
      <c r="P137" s="42"/>
      <c r="Q137" s="42"/>
      <c r="R137" s="42"/>
    </row>
    <row r="138" spans="1:18" ht="12.75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147"/>
      <c r="L138" s="42"/>
      <c r="M138" s="42"/>
      <c r="N138" s="42"/>
      <c r="O138" s="42"/>
      <c r="P138" s="42"/>
      <c r="Q138" s="42"/>
      <c r="R138" s="42"/>
    </row>
    <row r="139" spans="1:18" ht="12.75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147"/>
      <c r="L139" s="42"/>
      <c r="M139" s="42"/>
      <c r="N139" s="42"/>
      <c r="O139" s="42"/>
      <c r="P139" s="42"/>
      <c r="Q139" s="42"/>
      <c r="R139" s="42"/>
    </row>
    <row r="140" spans="1:18" ht="12.75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147"/>
      <c r="L140" s="42"/>
      <c r="M140" s="42"/>
      <c r="N140" s="42"/>
      <c r="O140" s="42"/>
      <c r="P140" s="42"/>
      <c r="Q140" s="42"/>
      <c r="R140" s="42"/>
    </row>
    <row r="141" spans="1:18" ht="12.75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147"/>
      <c r="L141" s="42"/>
      <c r="M141" s="42"/>
      <c r="N141" s="42"/>
      <c r="O141" s="42"/>
      <c r="P141" s="42"/>
      <c r="Q141" s="42"/>
      <c r="R141" s="42"/>
    </row>
    <row r="142" spans="1:18" ht="12.75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147"/>
      <c r="L142" s="42"/>
      <c r="M142" s="42"/>
      <c r="N142" s="42"/>
      <c r="O142" s="42"/>
      <c r="P142" s="42"/>
      <c r="Q142" s="42"/>
      <c r="R142" s="42"/>
    </row>
    <row r="143" spans="1:18" ht="12.75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147"/>
      <c r="L143" s="42"/>
      <c r="M143" s="42"/>
      <c r="N143" s="42"/>
      <c r="O143" s="42"/>
      <c r="P143" s="42"/>
      <c r="Q143" s="42"/>
      <c r="R143" s="42"/>
    </row>
    <row r="144" spans="1:18" ht="12.75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147"/>
      <c r="L144" s="42"/>
      <c r="M144" s="42"/>
      <c r="N144" s="42"/>
      <c r="O144" s="42"/>
      <c r="P144" s="42"/>
      <c r="Q144" s="42"/>
      <c r="R144" s="42"/>
    </row>
    <row r="145" spans="1:18" ht="12.75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147"/>
      <c r="L145" s="42"/>
      <c r="M145" s="42"/>
      <c r="N145" s="42"/>
      <c r="O145" s="42"/>
      <c r="P145" s="42"/>
      <c r="Q145" s="42"/>
      <c r="R145" s="42"/>
    </row>
    <row r="146" spans="1:18" ht="12.75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147"/>
      <c r="L146" s="42"/>
      <c r="M146" s="42"/>
      <c r="N146" s="42"/>
      <c r="O146" s="42"/>
      <c r="P146" s="42"/>
      <c r="Q146" s="42"/>
      <c r="R146" s="42"/>
    </row>
    <row r="147" spans="1:18" ht="12.75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147"/>
      <c r="L147" s="42"/>
      <c r="M147" s="42"/>
      <c r="N147" s="42"/>
      <c r="O147" s="42"/>
      <c r="P147" s="42"/>
      <c r="Q147" s="42"/>
      <c r="R147" s="42"/>
    </row>
    <row r="148" spans="1:18" ht="12.75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147"/>
      <c r="L148" s="42"/>
      <c r="M148" s="42"/>
      <c r="N148" s="42"/>
      <c r="O148" s="42"/>
      <c r="P148" s="42"/>
      <c r="Q148" s="42"/>
      <c r="R148" s="42"/>
    </row>
    <row r="149" spans="1:18" ht="12.75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147"/>
      <c r="L149" s="42"/>
      <c r="M149" s="42"/>
      <c r="N149" s="42"/>
      <c r="O149" s="42"/>
      <c r="P149" s="42"/>
      <c r="Q149" s="42"/>
      <c r="R149" s="42"/>
    </row>
    <row r="150" spans="1:18" ht="12.75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147"/>
      <c r="L150" s="42"/>
      <c r="M150" s="42"/>
      <c r="N150" s="42"/>
      <c r="O150" s="42"/>
      <c r="P150" s="42"/>
      <c r="Q150" s="42"/>
      <c r="R150" s="42"/>
    </row>
    <row r="151" spans="1:18" ht="12.75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147"/>
      <c r="L151" s="42"/>
      <c r="M151" s="42"/>
      <c r="N151" s="42"/>
      <c r="O151" s="42"/>
      <c r="P151" s="42"/>
      <c r="Q151" s="42"/>
      <c r="R151" s="42"/>
    </row>
    <row r="152" spans="1:18" ht="12.75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147"/>
      <c r="L152" s="42"/>
      <c r="M152" s="42"/>
      <c r="N152" s="42"/>
      <c r="O152" s="42"/>
      <c r="P152" s="42"/>
      <c r="Q152" s="42"/>
      <c r="R152" s="42"/>
    </row>
    <row r="153" spans="1:18" ht="12.75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147"/>
      <c r="L153" s="42"/>
      <c r="M153" s="42"/>
      <c r="N153" s="42"/>
      <c r="O153" s="42"/>
      <c r="P153" s="42"/>
      <c r="Q153" s="42"/>
      <c r="R153" s="42"/>
    </row>
    <row r="154" spans="1:18" ht="12.75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147"/>
      <c r="L154" s="42"/>
      <c r="M154" s="42"/>
      <c r="N154" s="42"/>
      <c r="O154" s="42"/>
      <c r="P154" s="42"/>
      <c r="Q154" s="42"/>
      <c r="R154" s="42"/>
    </row>
    <row r="155" spans="1:18" ht="12.75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147"/>
      <c r="L155" s="42"/>
      <c r="M155" s="42"/>
      <c r="N155" s="42"/>
      <c r="O155" s="42"/>
      <c r="P155" s="42"/>
      <c r="Q155" s="42"/>
      <c r="R155" s="42"/>
    </row>
    <row r="156" spans="1:18" ht="12.75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147"/>
      <c r="L156" s="42"/>
      <c r="M156" s="42"/>
      <c r="N156" s="42"/>
      <c r="O156" s="42"/>
      <c r="P156" s="42"/>
      <c r="Q156" s="42"/>
      <c r="R156" s="42"/>
    </row>
    <row r="157" spans="1:18" ht="12.75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147"/>
      <c r="L157" s="42"/>
      <c r="M157" s="42"/>
      <c r="N157" s="42"/>
      <c r="O157" s="42"/>
      <c r="P157" s="42"/>
      <c r="Q157" s="42"/>
      <c r="R157" s="42"/>
    </row>
    <row r="158" spans="1:18" ht="12.75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147"/>
      <c r="L158" s="42"/>
      <c r="M158" s="42"/>
      <c r="N158" s="42"/>
      <c r="O158" s="42"/>
      <c r="P158" s="42"/>
      <c r="Q158" s="42"/>
      <c r="R158" s="42"/>
    </row>
    <row r="159" spans="1:18" ht="12.75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147"/>
      <c r="L159" s="42"/>
      <c r="M159" s="42"/>
      <c r="N159" s="42"/>
      <c r="O159" s="42"/>
      <c r="P159" s="42"/>
      <c r="Q159" s="42"/>
      <c r="R159" s="42"/>
    </row>
    <row r="160" spans="1:18" ht="12.75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147"/>
      <c r="L160" s="42"/>
      <c r="M160" s="42"/>
      <c r="N160" s="42"/>
      <c r="O160" s="42"/>
      <c r="P160" s="42"/>
      <c r="Q160" s="42"/>
      <c r="R160" s="42"/>
    </row>
    <row r="161" spans="1:18" ht="12.75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147"/>
      <c r="L161" s="42"/>
      <c r="M161" s="42"/>
      <c r="N161" s="42"/>
      <c r="O161" s="42"/>
      <c r="P161" s="42"/>
      <c r="Q161" s="42"/>
      <c r="R161" s="42"/>
    </row>
    <row r="162" spans="1:18" ht="12.75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147"/>
      <c r="L162" s="42"/>
      <c r="M162" s="42"/>
      <c r="N162" s="42"/>
      <c r="O162" s="42"/>
      <c r="P162" s="42"/>
      <c r="Q162" s="42"/>
      <c r="R162" s="42"/>
    </row>
    <row r="163" spans="1:18" ht="12.75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147"/>
      <c r="L163" s="42"/>
      <c r="M163" s="42"/>
      <c r="N163" s="42"/>
      <c r="O163" s="42"/>
      <c r="P163" s="42"/>
      <c r="Q163" s="42"/>
      <c r="R163" s="42"/>
    </row>
    <row r="164" spans="1:18" ht="12.75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147"/>
      <c r="L164" s="42"/>
      <c r="M164" s="42"/>
      <c r="N164" s="42"/>
      <c r="O164" s="42"/>
      <c r="P164" s="42"/>
      <c r="Q164" s="42"/>
      <c r="R164" s="42"/>
    </row>
    <row r="165" spans="1:18" ht="12.75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147"/>
      <c r="L165" s="42"/>
      <c r="M165" s="42"/>
      <c r="N165" s="42"/>
      <c r="O165" s="42"/>
      <c r="P165" s="42"/>
      <c r="Q165" s="42"/>
      <c r="R165" s="42"/>
    </row>
    <row r="166" spans="1:18" ht="12.75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147"/>
      <c r="L166" s="42"/>
      <c r="M166" s="42"/>
      <c r="N166" s="42"/>
      <c r="O166" s="42"/>
      <c r="P166" s="42"/>
      <c r="Q166" s="42"/>
      <c r="R166" s="42"/>
    </row>
    <row r="167" spans="1:18" ht="12.75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147"/>
      <c r="L167" s="42"/>
      <c r="M167" s="42"/>
      <c r="N167" s="42"/>
      <c r="O167" s="42"/>
      <c r="P167" s="42"/>
      <c r="Q167" s="42"/>
      <c r="R167" s="42"/>
    </row>
    <row r="168" spans="1:18" ht="12.75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147"/>
      <c r="L168" s="42"/>
      <c r="M168" s="42"/>
      <c r="N168" s="42"/>
      <c r="O168" s="42"/>
      <c r="P168" s="42"/>
      <c r="Q168" s="42"/>
      <c r="R168" s="42"/>
    </row>
    <row r="169" spans="1:18" ht="12.75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147"/>
      <c r="L169" s="42"/>
      <c r="M169" s="42"/>
      <c r="N169" s="42"/>
      <c r="O169" s="42"/>
      <c r="P169" s="42"/>
      <c r="Q169" s="42"/>
      <c r="R169" s="42"/>
    </row>
    <row r="170" spans="1:18" ht="12.75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147"/>
      <c r="L170" s="42"/>
      <c r="M170" s="42"/>
      <c r="N170" s="42"/>
      <c r="O170" s="42"/>
      <c r="P170" s="42"/>
      <c r="Q170" s="42"/>
      <c r="R170" s="42"/>
    </row>
    <row r="171" spans="1:18" ht="12.75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147"/>
      <c r="L171" s="42"/>
      <c r="M171" s="42"/>
      <c r="N171" s="42"/>
      <c r="O171" s="42"/>
      <c r="P171" s="42"/>
      <c r="Q171" s="42"/>
      <c r="R171" s="42"/>
    </row>
    <row r="172" spans="1:18" ht="12.75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147"/>
      <c r="L172" s="42"/>
      <c r="M172" s="42"/>
      <c r="N172" s="42"/>
      <c r="O172" s="42"/>
      <c r="P172" s="42"/>
      <c r="Q172" s="42"/>
      <c r="R172" s="42"/>
    </row>
    <row r="173" spans="1:18" ht="12.75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147"/>
      <c r="L173" s="42"/>
      <c r="M173" s="42"/>
      <c r="N173" s="42"/>
      <c r="O173" s="42"/>
      <c r="P173" s="42"/>
      <c r="Q173" s="42"/>
      <c r="R173" s="42"/>
    </row>
    <row r="174" spans="1:18" ht="12.75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147"/>
      <c r="L174" s="42"/>
      <c r="M174" s="42"/>
      <c r="N174" s="42"/>
      <c r="O174" s="42"/>
      <c r="P174" s="42"/>
      <c r="Q174" s="42"/>
      <c r="R174" s="42"/>
    </row>
    <row r="175" spans="1:18" ht="12.75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147"/>
      <c r="L175" s="42"/>
      <c r="M175" s="42"/>
      <c r="N175" s="42"/>
      <c r="O175" s="42"/>
      <c r="P175" s="42"/>
      <c r="Q175" s="42"/>
      <c r="R175" s="42"/>
    </row>
    <row r="176" spans="1:18" ht="12.75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147"/>
      <c r="L176" s="42"/>
      <c r="M176" s="42"/>
      <c r="N176" s="42"/>
      <c r="O176" s="42"/>
      <c r="P176" s="42"/>
      <c r="Q176" s="42"/>
      <c r="R176" s="42"/>
    </row>
    <row r="177" spans="1:18" ht="12.75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147"/>
      <c r="L177" s="42"/>
      <c r="M177" s="42"/>
      <c r="N177" s="42"/>
      <c r="O177" s="42"/>
      <c r="P177" s="42"/>
      <c r="Q177" s="42"/>
      <c r="R177" s="42"/>
    </row>
    <row r="178" spans="1:18" ht="12.75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147"/>
      <c r="L178" s="42"/>
      <c r="M178" s="42"/>
      <c r="N178" s="42"/>
      <c r="O178" s="42"/>
      <c r="P178" s="42"/>
      <c r="Q178" s="42"/>
      <c r="R178" s="42"/>
    </row>
    <row r="179" spans="1:18" ht="12.75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147"/>
      <c r="L179" s="42"/>
      <c r="M179" s="42"/>
      <c r="N179" s="42"/>
      <c r="O179" s="42"/>
      <c r="P179" s="42"/>
      <c r="Q179" s="42"/>
      <c r="R179" s="42"/>
    </row>
    <row r="180" spans="1:18" ht="12.75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147"/>
      <c r="L180" s="42"/>
      <c r="M180" s="42"/>
      <c r="N180" s="42"/>
      <c r="O180" s="42"/>
      <c r="P180" s="42"/>
      <c r="Q180" s="42"/>
      <c r="R180" s="42"/>
    </row>
    <row r="181" spans="1:18" ht="12.75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147"/>
      <c r="L181" s="42"/>
      <c r="M181" s="42"/>
      <c r="N181" s="42"/>
      <c r="O181" s="42"/>
      <c r="P181" s="42"/>
      <c r="Q181" s="42"/>
      <c r="R181" s="42"/>
    </row>
    <row r="182" spans="1:18" ht="12.75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147"/>
      <c r="L182" s="42"/>
      <c r="M182" s="42"/>
      <c r="N182" s="42"/>
      <c r="O182" s="42"/>
      <c r="P182" s="42"/>
      <c r="Q182" s="42"/>
      <c r="R182" s="42"/>
    </row>
    <row r="183" spans="1:18" ht="12.75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147"/>
      <c r="L183" s="42"/>
      <c r="M183" s="42"/>
      <c r="N183" s="42"/>
      <c r="O183" s="42"/>
      <c r="P183" s="42"/>
      <c r="Q183" s="42"/>
      <c r="R183" s="42"/>
    </row>
    <row r="184" spans="1:18" ht="12.75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147"/>
      <c r="L184" s="42"/>
      <c r="M184" s="42"/>
      <c r="N184" s="42"/>
      <c r="O184" s="42"/>
      <c r="P184" s="42"/>
      <c r="Q184" s="42"/>
      <c r="R184" s="42"/>
    </row>
    <row r="185" spans="1:18" ht="12.75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147"/>
      <c r="L185" s="42"/>
      <c r="M185" s="42"/>
      <c r="N185" s="42"/>
      <c r="O185" s="42"/>
      <c r="P185" s="42"/>
      <c r="Q185" s="42"/>
      <c r="R185" s="42"/>
    </row>
    <row r="186" spans="1:18" ht="12.75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147"/>
      <c r="L186" s="42"/>
      <c r="M186" s="42"/>
      <c r="N186" s="42"/>
      <c r="O186" s="42"/>
      <c r="P186" s="42"/>
      <c r="Q186" s="42"/>
      <c r="R186" s="42"/>
    </row>
    <row r="187" spans="1:18" ht="12.75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147"/>
      <c r="L187" s="42"/>
      <c r="M187" s="42"/>
      <c r="N187" s="42"/>
      <c r="O187" s="42"/>
      <c r="P187" s="42"/>
      <c r="Q187" s="42"/>
      <c r="R187" s="42"/>
    </row>
    <row r="188" spans="1:18" ht="12.75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147"/>
      <c r="L188" s="42"/>
      <c r="M188" s="42"/>
      <c r="N188" s="42"/>
      <c r="O188" s="42"/>
      <c r="P188" s="42"/>
      <c r="Q188" s="42"/>
      <c r="R188" s="42"/>
    </row>
    <row r="189" spans="1:18" ht="12.75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147"/>
      <c r="L189" s="42"/>
      <c r="M189" s="42"/>
      <c r="N189" s="42"/>
      <c r="O189" s="42"/>
      <c r="P189" s="42"/>
      <c r="Q189" s="42"/>
      <c r="R189" s="42"/>
    </row>
    <row r="190" spans="1:18" ht="12.75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147"/>
      <c r="L190" s="42"/>
      <c r="M190" s="42"/>
      <c r="N190" s="42"/>
      <c r="O190" s="42"/>
      <c r="P190" s="42"/>
      <c r="Q190" s="42"/>
      <c r="R190" s="42"/>
    </row>
    <row r="191" spans="1:18" ht="12.75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147"/>
      <c r="L191" s="42"/>
      <c r="M191" s="42"/>
      <c r="N191" s="42"/>
      <c r="O191" s="42"/>
      <c r="P191" s="42"/>
      <c r="Q191" s="42"/>
      <c r="R191" s="42"/>
    </row>
    <row r="192" spans="1:18" ht="12.75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147"/>
      <c r="L192" s="42"/>
      <c r="M192" s="42"/>
      <c r="N192" s="42"/>
      <c r="O192" s="42"/>
      <c r="P192" s="42"/>
      <c r="Q192" s="42"/>
      <c r="R192" s="42"/>
    </row>
    <row r="193" spans="1:18" ht="12.75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147"/>
      <c r="L193" s="42"/>
      <c r="M193" s="42"/>
      <c r="N193" s="42"/>
      <c r="O193" s="42"/>
      <c r="P193" s="42"/>
      <c r="Q193" s="42"/>
      <c r="R193" s="42"/>
    </row>
    <row r="194" spans="1:18" ht="12.75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147"/>
      <c r="L194" s="42"/>
      <c r="M194" s="42"/>
      <c r="N194" s="42"/>
      <c r="O194" s="42"/>
      <c r="P194" s="42"/>
      <c r="Q194" s="42"/>
      <c r="R194" s="42"/>
    </row>
    <row r="195" spans="1:18" ht="12.75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147"/>
      <c r="L195" s="42"/>
      <c r="M195" s="42"/>
      <c r="N195" s="42"/>
      <c r="O195" s="42"/>
      <c r="P195" s="42"/>
      <c r="Q195" s="42"/>
      <c r="R195" s="42"/>
    </row>
    <row r="196" spans="1:18" ht="12.75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147"/>
      <c r="L196" s="42"/>
      <c r="M196" s="42"/>
      <c r="N196" s="42"/>
      <c r="O196" s="42"/>
      <c r="P196" s="42"/>
      <c r="Q196" s="42"/>
      <c r="R196" s="42"/>
    </row>
    <row r="197" spans="1:18" ht="12.75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147"/>
      <c r="L197" s="42"/>
      <c r="M197" s="42"/>
      <c r="N197" s="42"/>
      <c r="O197" s="42"/>
      <c r="P197" s="42"/>
      <c r="Q197" s="42"/>
      <c r="R197" s="42"/>
    </row>
    <row r="198" spans="1:18" ht="12.75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147"/>
      <c r="L198" s="42"/>
      <c r="M198" s="42"/>
      <c r="N198" s="42"/>
      <c r="O198" s="42"/>
      <c r="P198" s="42"/>
      <c r="Q198" s="42"/>
      <c r="R198" s="42"/>
    </row>
    <row r="199" spans="1:18" ht="12.75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147"/>
      <c r="L199" s="42"/>
      <c r="M199" s="42"/>
      <c r="N199" s="42"/>
      <c r="O199" s="42"/>
      <c r="P199" s="42"/>
      <c r="Q199" s="42"/>
      <c r="R199" s="42"/>
    </row>
    <row r="200" spans="1:18" ht="12.75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147"/>
      <c r="L200" s="42"/>
      <c r="M200" s="42"/>
      <c r="N200" s="42"/>
      <c r="O200" s="42"/>
      <c r="P200" s="42"/>
      <c r="Q200" s="42"/>
      <c r="R200" s="42"/>
    </row>
    <row r="201" spans="1:18" ht="12.75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147"/>
      <c r="L201" s="42"/>
      <c r="M201" s="42"/>
      <c r="N201" s="42"/>
      <c r="O201" s="42"/>
      <c r="P201" s="42"/>
      <c r="Q201" s="42"/>
      <c r="R201" s="42"/>
    </row>
    <row r="202" spans="1:18" ht="12.75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147"/>
      <c r="L202" s="42"/>
      <c r="M202" s="42"/>
      <c r="N202" s="42"/>
      <c r="O202" s="42"/>
      <c r="P202" s="42"/>
      <c r="Q202" s="42"/>
      <c r="R202" s="42"/>
    </row>
    <row r="203" spans="1:18" ht="12.75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147"/>
      <c r="L203" s="42"/>
      <c r="M203" s="42"/>
      <c r="N203" s="42"/>
      <c r="O203" s="42"/>
      <c r="P203" s="42"/>
      <c r="Q203" s="42"/>
      <c r="R203" s="42"/>
    </row>
    <row r="204" spans="1:18" ht="12.75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147"/>
      <c r="L204" s="42"/>
      <c r="M204" s="42"/>
      <c r="N204" s="42"/>
      <c r="O204" s="42"/>
      <c r="P204" s="42"/>
      <c r="Q204" s="42"/>
      <c r="R204" s="42"/>
    </row>
    <row r="205" spans="1:18" ht="12.75">
      <c r="A205" s="147"/>
      <c r="B205" s="147"/>
      <c r="C205" s="147"/>
      <c r="D205" s="147"/>
      <c r="E205" s="147"/>
      <c r="F205" s="147"/>
      <c r="G205" s="147"/>
      <c r="H205" s="147"/>
      <c r="I205" s="147"/>
      <c r="J205" s="147"/>
      <c r="K205" s="147"/>
      <c r="L205" s="42"/>
      <c r="M205" s="42"/>
      <c r="N205" s="42"/>
      <c r="O205" s="42"/>
      <c r="P205" s="42"/>
      <c r="Q205" s="42"/>
      <c r="R205" s="42"/>
    </row>
    <row r="206" spans="1:18" ht="12.75">
      <c r="A206" s="147"/>
      <c r="B206" s="147"/>
      <c r="C206" s="147"/>
      <c r="D206" s="147"/>
      <c r="E206" s="147"/>
      <c r="F206" s="147"/>
      <c r="G206" s="147"/>
      <c r="H206" s="147"/>
      <c r="I206" s="147"/>
      <c r="J206" s="147"/>
      <c r="K206" s="147"/>
      <c r="L206" s="42"/>
      <c r="M206" s="42"/>
      <c r="N206" s="42"/>
      <c r="O206" s="42"/>
      <c r="P206" s="42"/>
      <c r="Q206" s="42"/>
      <c r="R206" s="42"/>
    </row>
    <row r="207" spans="1:18" ht="12.75">
      <c r="A207" s="147"/>
      <c r="B207" s="147"/>
      <c r="C207" s="147"/>
      <c r="D207" s="147"/>
      <c r="E207" s="147"/>
      <c r="F207" s="147"/>
      <c r="G207" s="147"/>
      <c r="H207" s="147"/>
      <c r="I207" s="147"/>
      <c r="J207" s="147"/>
      <c r="K207" s="147"/>
      <c r="L207" s="42"/>
      <c r="M207" s="42"/>
      <c r="N207" s="42"/>
      <c r="O207" s="42"/>
      <c r="P207" s="42"/>
      <c r="Q207" s="42"/>
      <c r="R207" s="42"/>
    </row>
    <row r="208" spans="1:18" ht="12.75">
      <c r="A208" s="147"/>
      <c r="B208" s="147"/>
      <c r="C208" s="147"/>
      <c r="D208" s="147"/>
      <c r="E208" s="147"/>
      <c r="F208" s="147"/>
      <c r="G208" s="147"/>
      <c r="H208" s="147"/>
      <c r="I208" s="147"/>
      <c r="J208" s="147"/>
      <c r="K208" s="147"/>
      <c r="L208" s="42"/>
      <c r="M208" s="42"/>
      <c r="N208" s="42"/>
      <c r="O208" s="42"/>
      <c r="P208" s="42"/>
      <c r="Q208" s="42"/>
      <c r="R208" s="42"/>
    </row>
    <row r="209" spans="1:18" ht="12.75">
      <c r="A209" s="147"/>
      <c r="B209" s="147"/>
      <c r="C209" s="147"/>
      <c r="D209" s="147"/>
      <c r="E209" s="147"/>
      <c r="F209" s="147"/>
      <c r="G209" s="147"/>
      <c r="H209" s="147"/>
      <c r="I209" s="147"/>
      <c r="J209" s="147"/>
      <c r="K209" s="147"/>
      <c r="L209" s="42"/>
      <c r="M209" s="42"/>
      <c r="N209" s="42"/>
      <c r="O209" s="42"/>
      <c r="P209" s="42"/>
      <c r="Q209" s="42"/>
      <c r="R209" s="42"/>
    </row>
    <row r="210" spans="1:18" ht="12.75">
      <c r="A210" s="147"/>
      <c r="B210" s="147"/>
      <c r="C210" s="147"/>
      <c r="D210" s="147"/>
      <c r="E210" s="147"/>
      <c r="F210" s="147"/>
      <c r="G210" s="147"/>
      <c r="H210" s="147"/>
      <c r="I210" s="147"/>
      <c r="J210" s="147"/>
      <c r="K210" s="147"/>
      <c r="L210" s="42"/>
      <c r="M210" s="42"/>
      <c r="N210" s="42"/>
      <c r="O210" s="42"/>
      <c r="P210" s="42"/>
      <c r="Q210" s="42"/>
      <c r="R210" s="42"/>
    </row>
    <row r="211" spans="1:18" ht="12.75">
      <c r="A211" s="147"/>
      <c r="B211" s="147"/>
      <c r="C211" s="147"/>
      <c r="D211" s="147"/>
      <c r="E211" s="147"/>
      <c r="F211" s="147"/>
      <c r="G211" s="147"/>
      <c r="H211" s="147"/>
      <c r="I211" s="147"/>
      <c r="J211" s="147"/>
      <c r="K211" s="147"/>
      <c r="L211" s="42"/>
      <c r="M211" s="42"/>
      <c r="N211" s="42"/>
      <c r="O211" s="42"/>
      <c r="P211" s="42"/>
      <c r="Q211" s="42"/>
      <c r="R211" s="42"/>
    </row>
    <row r="212" spans="1:18" ht="12.75">
      <c r="A212" s="147"/>
      <c r="B212" s="147"/>
      <c r="C212" s="147"/>
      <c r="D212" s="147"/>
      <c r="E212" s="147"/>
      <c r="F212" s="147"/>
      <c r="G212" s="147"/>
      <c r="H212" s="147"/>
      <c r="I212" s="147"/>
      <c r="J212" s="147"/>
      <c r="K212" s="147"/>
      <c r="L212" s="42"/>
      <c r="M212" s="42"/>
      <c r="N212" s="42"/>
      <c r="O212" s="42"/>
      <c r="P212" s="42"/>
      <c r="Q212" s="42"/>
      <c r="R212" s="42"/>
    </row>
    <row r="213" spans="1:18" ht="12.75">
      <c r="A213" s="147"/>
      <c r="B213" s="147"/>
      <c r="C213" s="147"/>
      <c r="D213" s="147"/>
      <c r="E213" s="147"/>
      <c r="F213" s="147"/>
      <c r="G213" s="147"/>
      <c r="H213" s="147"/>
      <c r="I213" s="147"/>
      <c r="J213" s="147"/>
      <c r="K213" s="147"/>
      <c r="L213" s="42"/>
      <c r="M213" s="42"/>
      <c r="N213" s="42"/>
      <c r="O213" s="42"/>
      <c r="P213" s="42"/>
      <c r="Q213" s="42"/>
      <c r="R213" s="42"/>
    </row>
    <row r="214" spans="1:18" ht="12.75">
      <c r="A214" s="147"/>
      <c r="B214" s="147"/>
      <c r="C214" s="147"/>
      <c r="D214" s="147"/>
      <c r="E214" s="147"/>
      <c r="F214" s="147"/>
      <c r="G214" s="147"/>
      <c r="H214" s="147"/>
      <c r="I214" s="147"/>
      <c r="J214" s="147"/>
      <c r="K214" s="147"/>
      <c r="L214" s="42"/>
      <c r="M214" s="42"/>
      <c r="N214" s="42"/>
      <c r="O214" s="42"/>
      <c r="P214" s="42"/>
      <c r="Q214" s="42"/>
      <c r="R214" s="42"/>
    </row>
    <row r="215" spans="1:18" ht="12.75">
      <c r="A215" s="147"/>
      <c r="B215" s="147"/>
      <c r="C215" s="147"/>
      <c r="D215" s="147"/>
      <c r="E215" s="147"/>
      <c r="F215" s="147"/>
      <c r="G215" s="147"/>
      <c r="H215" s="147"/>
      <c r="I215" s="147"/>
      <c r="J215" s="147"/>
      <c r="K215" s="147"/>
      <c r="L215" s="42"/>
      <c r="M215" s="42"/>
      <c r="N215" s="42"/>
      <c r="O215" s="42"/>
      <c r="P215" s="42"/>
      <c r="Q215" s="42"/>
      <c r="R215" s="42"/>
    </row>
    <row r="216" spans="1:18" ht="12.75">
      <c r="A216" s="147"/>
      <c r="B216" s="147"/>
      <c r="C216" s="147"/>
      <c r="D216" s="147"/>
      <c r="E216" s="147"/>
      <c r="F216" s="147"/>
      <c r="G216" s="147"/>
      <c r="H216" s="147"/>
      <c r="I216" s="147"/>
      <c r="J216" s="147"/>
      <c r="K216" s="147"/>
      <c r="L216" s="42"/>
      <c r="M216" s="42"/>
      <c r="N216" s="42"/>
      <c r="O216" s="42"/>
      <c r="P216" s="42"/>
      <c r="Q216" s="42"/>
      <c r="R216" s="42"/>
    </row>
    <row r="217" spans="1:18" ht="12.75">
      <c r="A217" s="147"/>
      <c r="B217" s="147"/>
      <c r="C217" s="147"/>
      <c r="D217" s="147"/>
      <c r="E217" s="147"/>
      <c r="F217" s="147"/>
      <c r="G217" s="147"/>
      <c r="H217" s="147"/>
      <c r="I217" s="147"/>
      <c r="J217" s="147"/>
      <c r="K217" s="147"/>
      <c r="L217" s="42"/>
      <c r="M217" s="42"/>
      <c r="N217" s="42"/>
      <c r="O217" s="42"/>
      <c r="P217" s="42"/>
      <c r="Q217" s="42"/>
      <c r="R217" s="42"/>
    </row>
    <row r="218" spans="1:18" ht="12.75">
      <c r="A218" s="147"/>
      <c r="B218" s="147"/>
      <c r="C218" s="147"/>
      <c r="D218" s="147"/>
      <c r="E218" s="147"/>
      <c r="F218" s="147"/>
      <c r="G218" s="147"/>
      <c r="H218" s="147"/>
      <c r="I218" s="147"/>
      <c r="J218" s="147"/>
      <c r="K218" s="147"/>
      <c r="L218" s="42"/>
      <c r="M218" s="42"/>
      <c r="N218" s="42"/>
      <c r="O218" s="42"/>
      <c r="P218" s="42"/>
      <c r="Q218" s="42"/>
      <c r="R218" s="42"/>
    </row>
    <row r="219" spans="1:18" ht="12.75">
      <c r="A219" s="147"/>
      <c r="B219" s="147"/>
      <c r="C219" s="147"/>
      <c r="D219" s="147"/>
      <c r="E219" s="147"/>
      <c r="F219" s="147"/>
      <c r="G219" s="147"/>
      <c r="H219" s="147"/>
      <c r="I219" s="147"/>
      <c r="J219" s="147"/>
      <c r="K219" s="147"/>
      <c r="L219" s="42"/>
      <c r="M219" s="42"/>
      <c r="N219" s="42"/>
      <c r="O219" s="42"/>
      <c r="P219" s="42"/>
      <c r="Q219" s="42"/>
      <c r="R219" s="42"/>
    </row>
    <row r="220" spans="1:18" ht="12.75">
      <c r="A220" s="147"/>
      <c r="B220" s="147"/>
      <c r="C220" s="147"/>
      <c r="D220" s="147"/>
      <c r="E220" s="147"/>
      <c r="F220" s="147"/>
      <c r="G220" s="147"/>
      <c r="H220" s="147"/>
      <c r="I220" s="147"/>
      <c r="J220" s="147"/>
      <c r="K220" s="147"/>
      <c r="L220" s="42"/>
      <c r="M220" s="42"/>
      <c r="N220" s="42"/>
      <c r="O220" s="42"/>
      <c r="P220" s="42"/>
      <c r="Q220" s="42"/>
      <c r="R220" s="42"/>
    </row>
    <row r="221" spans="1:18" ht="12.75">
      <c r="A221" s="147"/>
      <c r="B221" s="147"/>
      <c r="C221" s="147"/>
      <c r="D221" s="147"/>
      <c r="E221" s="147"/>
      <c r="F221" s="147"/>
      <c r="G221" s="147"/>
      <c r="H221" s="147"/>
      <c r="I221" s="147"/>
      <c r="J221" s="147"/>
      <c r="K221" s="147"/>
      <c r="L221" s="42"/>
      <c r="M221" s="42"/>
      <c r="N221" s="42"/>
      <c r="O221" s="42"/>
      <c r="P221" s="42"/>
      <c r="Q221" s="42"/>
      <c r="R221" s="42"/>
    </row>
    <row r="222" spans="1:18" ht="12.75">
      <c r="A222" s="147"/>
      <c r="B222" s="147"/>
      <c r="C222" s="147"/>
      <c r="D222" s="147"/>
      <c r="E222" s="147"/>
      <c r="F222" s="147"/>
      <c r="G222" s="147"/>
      <c r="H222" s="147"/>
      <c r="I222" s="147"/>
      <c r="J222" s="147"/>
      <c r="K222" s="147"/>
      <c r="L222" s="42"/>
      <c r="M222" s="42"/>
      <c r="N222" s="42"/>
      <c r="O222" s="42"/>
      <c r="P222" s="42"/>
      <c r="Q222" s="42"/>
      <c r="R222" s="42"/>
    </row>
    <row r="223" spans="1:18" ht="12.75">
      <c r="A223" s="147"/>
      <c r="B223" s="147"/>
      <c r="C223" s="147"/>
      <c r="D223" s="147"/>
      <c r="E223" s="147"/>
      <c r="F223" s="147"/>
      <c r="G223" s="147"/>
      <c r="H223" s="147"/>
      <c r="I223" s="147"/>
      <c r="J223" s="147"/>
      <c r="K223" s="147"/>
      <c r="L223" s="42"/>
      <c r="M223" s="42"/>
      <c r="N223" s="42"/>
      <c r="O223" s="42"/>
      <c r="P223" s="42"/>
      <c r="Q223" s="42"/>
      <c r="R223" s="42"/>
    </row>
    <row r="224" spans="1:18" ht="12.75">
      <c r="A224" s="147"/>
      <c r="B224" s="147"/>
      <c r="C224" s="147"/>
      <c r="D224" s="147"/>
      <c r="E224" s="147"/>
      <c r="F224" s="147"/>
      <c r="G224" s="147"/>
      <c r="H224" s="147"/>
      <c r="I224" s="147"/>
      <c r="J224" s="147"/>
      <c r="K224" s="147"/>
      <c r="L224" s="42"/>
      <c r="M224" s="42"/>
      <c r="N224" s="42"/>
      <c r="O224" s="42"/>
      <c r="P224" s="42"/>
      <c r="Q224" s="42"/>
      <c r="R224" s="42"/>
    </row>
    <row r="225" spans="1:18" ht="12.75">
      <c r="A225" s="147"/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42"/>
      <c r="M225" s="42"/>
      <c r="N225" s="42"/>
      <c r="O225" s="42"/>
      <c r="P225" s="42"/>
      <c r="Q225" s="42"/>
      <c r="R225" s="42"/>
    </row>
    <row r="226" spans="1:18" ht="12.75">
      <c r="A226" s="147"/>
      <c r="B226" s="147"/>
      <c r="C226" s="147"/>
      <c r="D226" s="147"/>
      <c r="E226" s="147"/>
      <c r="F226" s="147"/>
      <c r="G226" s="147"/>
      <c r="H226" s="147"/>
      <c r="I226" s="147"/>
      <c r="J226" s="147"/>
      <c r="K226" s="147"/>
      <c r="L226" s="42"/>
      <c r="M226" s="42"/>
      <c r="N226" s="42"/>
      <c r="O226" s="42"/>
      <c r="P226" s="42"/>
      <c r="Q226" s="42"/>
      <c r="R226" s="42"/>
    </row>
    <row r="227" spans="1:18" ht="12.75">
      <c r="A227" s="147"/>
      <c r="B227" s="147"/>
      <c r="C227" s="147"/>
      <c r="D227" s="147"/>
      <c r="E227" s="147"/>
      <c r="F227" s="147"/>
      <c r="G227" s="147"/>
      <c r="H227" s="147"/>
      <c r="I227" s="147"/>
      <c r="J227" s="147"/>
      <c r="K227" s="147"/>
      <c r="L227" s="42"/>
      <c r="M227" s="42"/>
      <c r="N227" s="42"/>
      <c r="O227" s="42"/>
      <c r="P227" s="42"/>
      <c r="Q227" s="42"/>
      <c r="R227" s="42"/>
    </row>
    <row r="228" spans="1:18" ht="12.75">
      <c r="A228" s="147"/>
      <c r="B228" s="147"/>
      <c r="C228" s="147"/>
      <c r="D228" s="147"/>
      <c r="E228" s="147"/>
      <c r="F228" s="147"/>
      <c r="G228" s="147"/>
      <c r="H228" s="147"/>
      <c r="I228" s="147"/>
      <c r="J228" s="147"/>
      <c r="K228" s="147"/>
      <c r="L228" s="42"/>
      <c r="M228" s="42"/>
      <c r="N228" s="42"/>
      <c r="O228" s="42"/>
      <c r="P228" s="42"/>
      <c r="Q228" s="42"/>
      <c r="R228" s="42"/>
    </row>
    <row r="229" spans="1:18" ht="12.75">
      <c r="A229" s="147"/>
      <c r="B229" s="147"/>
      <c r="C229" s="147"/>
      <c r="D229" s="147"/>
      <c r="E229" s="147"/>
      <c r="F229" s="147"/>
      <c r="G229" s="147"/>
      <c r="H229" s="147"/>
      <c r="I229" s="147"/>
      <c r="J229" s="147"/>
      <c r="K229" s="147"/>
      <c r="L229" s="42"/>
      <c r="M229" s="42"/>
      <c r="N229" s="42"/>
      <c r="O229" s="42"/>
      <c r="P229" s="42"/>
      <c r="Q229" s="42"/>
      <c r="R229" s="42"/>
    </row>
    <row r="230" spans="1:18" ht="12.75">
      <c r="A230" s="147"/>
      <c r="B230" s="147"/>
      <c r="C230" s="147"/>
      <c r="D230" s="147"/>
      <c r="E230" s="147"/>
      <c r="F230" s="147"/>
      <c r="G230" s="147"/>
      <c r="H230" s="147"/>
      <c r="I230" s="147"/>
      <c r="J230" s="147"/>
      <c r="K230" s="147"/>
      <c r="L230" s="42"/>
      <c r="M230" s="42"/>
      <c r="N230" s="42"/>
      <c r="O230" s="42"/>
      <c r="P230" s="42"/>
      <c r="Q230" s="42"/>
      <c r="R230" s="42"/>
    </row>
    <row r="231" spans="1:18" ht="12.75">
      <c r="A231" s="147"/>
      <c r="B231" s="147"/>
      <c r="C231" s="147"/>
      <c r="D231" s="147"/>
      <c r="E231" s="147"/>
      <c r="F231" s="147"/>
      <c r="G231" s="147"/>
      <c r="H231" s="147"/>
      <c r="I231" s="147"/>
      <c r="J231" s="147"/>
      <c r="K231" s="147"/>
      <c r="L231" s="42"/>
      <c r="M231" s="42"/>
      <c r="N231" s="42"/>
      <c r="O231" s="42"/>
      <c r="P231" s="42"/>
      <c r="Q231" s="42"/>
      <c r="R231" s="42"/>
    </row>
    <row r="232" spans="1:18" ht="12.75">
      <c r="A232" s="147"/>
      <c r="B232" s="147"/>
      <c r="C232" s="147"/>
      <c r="D232" s="147"/>
      <c r="E232" s="147"/>
      <c r="F232" s="147"/>
      <c r="G232" s="147"/>
      <c r="H232" s="147"/>
      <c r="I232" s="147"/>
      <c r="J232" s="147"/>
      <c r="K232" s="147"/>
      <c r="L232" s="42"/>
      <c r="M232" s="42"/>
      <c r="N232" s="42"/>
      <c r="O232" s="42"/>
      <c r="P232" s="42"/>
      <c r="Q232" s="42"/>
      <c r="R232" s="42"/>
    </row>
    <row r="233" spans="1:18" ht="12.75">
      <c r="A233" s="147"/>
      <c r="B233" s="147"/>
      <c r="C233" s="147"/>
      <c r="D233" s="147"/>
      <c r="E233" s="147"/>
      <c r="F233" s="147"/>
      <c r="G233" s="147"/>
      <c r="H233" s="147"/>
      <c r="I233" s="147"/>
      <c r="J233" s="147"/>
      <c r="K233" s="147"/>
      <c r="L233" s="42"/>
      <c r="M233" s="42"/>
      <c r="N233" s="42"/>
      <c r="O233" s="42"/>
      <c r="P233" s="42"/>
      <c r="Q233" s="42"/>
      <c r="R233" s="42"/>
    </row>
    <row r="234" spans="1:18" ht="12.75">
      <c r="A234" s="147"/>
      <c r="B234" s="147"/>
      <c r="C234" s="147"/>
      <c r="D234" s="147"/>
      <c r="E234" s="147"/>
      <c r="F234" s="147"/>
      <c r="G234" s="147"/>
      <c r="H234" s="147"/>
      <c r="I234" s="147"/>
      <c r="J234" s="147"/>
      <c r="K234" s="147"/>
      <c r="L234" s="42"/>
      <c r="M234" s="42"/>
      <c r="N234" s="42"/>
      <c r="O234" s="42"/>
      <c r="P234" s="42"/>
      <c r="Q234" s="42"/>
      <c r="R234" s="42"/>
    </row>
    <row r="235" spans="1:18" ht="12.75">
      <c r="A235" s="147"/>
      <c r="B235" s="147"/>
      <c r="C235" s="147"/>
      <c r="D235" s="147"/>
      <c r="E235" s="147"/>
      <c r="F235" s="147"/>
      <c r="G235" s="147"/>
      <c r="H235" s="147"/>
      <c r="I235" s="147"/>
      <c r="J235" s="147"/>
      <c r="K235" s="147"/>
      <c r="L235" s="42"/>
      <c r="M235" s="42"/>
      <c r="N235" s="42"/>
      <c r="O235" s="42"/>
      <c r="P235" s="42"/>
      <c r="Q235" s="42"/>
      <c r="R235" s="42"/>
    </row>
    <row r="236" spans="1:18" ht="12.75">
      <c r="A236" s="147"/>
      <c r="B236" s="147"/>
      <c r="C236" s="147"/>
      <c r="D236" s="147"/>
      <c r="E236" s="147"/>
      <c r="F236" s="147"/>
      <c r="G236" s="147"/>
      <c r="H236" s="147"/>
      <c r="I236" s="147"/>
      <c r="J236" s="147"/>
      <c r="K236" s="147"/>
      <c r="L236" s="42"/>
      <c r="M236" s="42"/>
      <c r="N236" s="42"/>
      <c r="O236" s="42"/>
      <c r="P236" s="42"/>
      <c r="Q236" s="42"/>
      <c r="R236" s="42"/>
    </row>
    <row r="237" spans="1:18" ht="12.75">
      <c r="A237" s="147"/>
      <c r="B237" s="147"/>
      <c r="C237" s="147"/>
      <c r="D237" s="147"/>
      <c r="E237" s="147"/>
      <c r="F237" s="147"/>
      <c r="G237" s="147"/>
      <c r="H237" s="147"/>
      <c r="I237" s="147"/>
      <c r="J237" s="147"/>
      <c r="K237" s="147"/>
      <c r="L237" s="42"/>
      <c r="M237" s="42"/>
      <c r="N237" s="42"/>
      <c r="O237" s="42"/>
      <c r="P237" s="42"/>
      <c r="Q237" s="42"/>
      <c r="R237" s="42"/>
    </row>
    <row r="238" spans="1:18" ht="12.75">
      <c r="A238" s="147"/>
      <c r="B238" s="147"/>
      <c r="C238" s="147"/>
      <c r="D238" s="147"/>
      <c r="E238" s="147"/>
      <c r="F238" s="147"/>
      <c r="G238" s="147"/>
      <c r="H238" s="147"/>
      <c r="I238" s="147"/>
      <c r="J238" s="147"/>
      <c r="K238" s="147"/>
      <c r="L238" s="42"/>
      <c r="M238" s="42"/>
      <c r="N238" s="42"/>
      <c r="O238" s="42"/>
      <c r="P238" s="42"/>
      <c r="Q238" s="42"/>
      <c r="R238" s="42"/>
    </row>
    <row r="239" spans="1:18" ht="12.75">
      <c r="A239" s="147"/>
      <c r="B239" s="147"/>
      <c r="C239" s="147"/>
      <c r="D239" s="147"/>
      <c r="E239" s="147"/>
      <c r="F239" s="147"/>
      <c r="G239" s="147"/>
      <c r="H239" s="147"/>
      <c r="I239" s="147"/>
      <c r="J239" s="147"/>
      <c r="K239" s="147"/>
      <c r="L239" s="42"/>
      <c r="M239" s="42"/>
      <c r="N239" s="42"/>
      <c r="O239" s="42"/>
      <c r="P239" s="42"/>
      <c r="Q239" s="42"/>
      <c r="R239" s="42"/>
    </row>
    <row r="240" spans="1:18" ht="12.75">
      <c r="A240" s="147"/>
      <c r="B240" s="147"/>
      <c r="C240" s="147"/>
      <c r="D240" s="147"/>
      <c r="E240" s="147"/>
      <c r="F240" s="147"/>
      <c r="G240" s="147"/>
      <c r="H240" s="147"/>
      <c r="I240" s="147"/>
      <c r="J240" s="147"/>
      <c r="K240" s="147"/>
      <c r="L240" s="42"/>
      <c r="M240" s="42"/>
      <c r="N240" s="42"/>
      <c r="O240" s="42"/>
      <c r="P240" s="42"/>
      <c r="Q240" s="42"/>
      <c r="R240" s="42"/>
    </row>
    <row r="241" spans="1:18" ht="12.75">
      <c r="A241" s="147"/>
      <c r="B241" s="147"/>
      <c r="C241" s="147"/>
      <c r="D241" s="147"/>
      <c r="E241" s="147"/>
      <c r="F241" s="147"/>
      <c r="G241" s="147"/>
      <c r="H241" s="147"/>
      <c r="I241" s="147"/>
      <c r="J241" s="147"/>
      <c r="K241" s="147"/>
      <c r="L241" s="42"/>
      <c r="M241" s="42"/>
      <c r="N241" s="42"/>
      <c r="O241" s="42"/>
      <c r="P241" s="42"/>
      <c r="Q241" s="42"/>
      <c r="R241" s="42"/>
    </row>
    <row r="242" spans="1:18" ht="12.75">
      <c r="A242" s="147"/>
      <c r="B242" s="147"/>
      <c r="C242" s="147"/>
      <c r="D242" s="147"/>
      <c r="E242" s="147"/>
      <c r="F242" s="147"/>
      <c r="G242" s="147"/>
      <c r="H242" s="147"/>
      <c r="I242" s="147"/>
      <c r="J242" s="147"/>
      <c r="K242" s="147"/>
      <c r="L242" s="42"/>
      <c r="M242" s="42"/>
      <c r="N242" s="42"/>
      <c r="O242" s="42"/>
      <c r="P242" s="42"/>
      <c r="Q242" s="42"/>
      <c r="R242" s="42"/>
    </row>
    <row r="243" spans="1:18" ht="12.75">
      <c r="A243" s="147"/>
      <c r="B243" s="147"/>
      <c r="C243" s="147"/>
      <c r="D243" s="147"/>
      <c r="E243" s="147"/>
      <c r="F243" s="147"/>
      <c r="G243" s="147"/>
      <c r="H243" s="147"/>
      <c r="I243" s="147"/>
      <c r="J243" s="147"/>
      <c r="K243" s="147"/>
      <c r="L243" s="42"/>
      <c r="M243" s="42"/>
      <c r="N243" s="42"/>
      <c r="O243" s="42"/>
      <c r="P243" s="42"/>
      <c r="Q243" s="42"/>
      <c r="R243" s="42"/>
    </row>
    <row r="244" spans="1:18" ht="12.75">
      <c r="A244" s="147"/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42"/>
      <c r="M244" s="42"/>
      <c r="N244" s="42"/>
      <c r="O244" s="42"/>
      <c r="P244" s="42"/>
      <c r="Q244" s="42"/>
      <c r="R244" s="42"/>
    </row>
    <row r="245" spans="1:18" ht="12.75">
      <c r="A245" s="147"/>
      <c r="B245" s="147"/>
      <c r="C245" s="147"/>
      <c r="D245" s="147"/>
      <c r="E245" s="147"/>
      <c r="F245" s="147"/>
      <c r="G245" s="147"/>
      <c r="H245" s="147"/>
      <c r="I245" s="147"/>
      <c r="J245" s="147"/>
      <c r="K245" s="147"/>
      <c r="L245" s="42"/>
      <c r="M245" s="42"/>
      <c r="N245" s="42"/>
      <c r="O245" s="42"/>
      <c r="P245" s="42"/>
      <c r="Q245" s="42"/>
      <c r="R245" s="42"/>
    </row>
    <row r="246" spans="1:18" ht="12.75">
      <c r="A246" s="147"/>
      <c r="B246" s="147"/>
      <c r="C246" s="147"/>
      <c r="D246" s="147"/>
      <c r="E246" s="147"/>
      <c r="F246" s="147"/>
      <c r="G246" s="147"/>
      <c r="H246" s="147"/>
      <c r="I246" s="147"/>
      <c r="J246" s="147"/>
      <c r="K246" s="147"/>
      <c r="L246" s="42"/>
      <c r="M246" s="42"/>
      <c r="N246" s="42"/>
      <c r="O246" s="42"/>
      <c r="P246" s="42"/>
      <c r="Q246" s="42"/>
      <c r="R246" s="42"/>
    </row>
    <row r="247" spans="1:18" ht="12.75">
      <c r="A247" s="147"/>
      <c r="B247" s="147"/>
      <c r="C247" s="147"/>
      <c r="D247" s="147"/>
      <c r="E247" s="147"/>
      <c r="F247" s="147"/>
      <c r="G247" s="147"/>
      <c r="H247" s="147"/>
      <c r="I247" s="147"/>
      <c r="J247" s="147"/>
      <c r="K247" s="147"/>
      <c r="L247" s="42"/>
      <c r="M247" s="42"/>
      <c r="N247" s="42"/>
      <c r="O247" s="42"/>
      <c r="P247" s="42"/>
      <c r="Q247" s="42"/>
      <c r="R247" s="42"/>
    </row>
    <row r="248" spans="1:18" ht="12.75">
      <c r="A248" s="147"/>
      <c r="B248" s="147"/>
      <c r="C248" s="147"/>
      <c r="D248" s="147"/>
      <c r="E248" s="147"/>
      <c r="F248" s="147"/>
      <c r="G248" s="147"/>
      <c r="H248" s="147"/>
      <c r="I248" s="147"/>
      <c r="J248" s="147"/>
      <c r="K248" s="147"/>
      <c r="L248" s="42"/>
      <c r="M248" s="42"/>
      <c r="N248" s="42"/>
      <c r="O248" s="42"/>
      <c r="P248" s="42"/>
      <c r="Q248" s="42"/>
      <c r="R248" s="42"/>
    </row>
    <row r="249" spans="1:18" ht="12.75">
      <c r="A249" s="147"/>
      <c r="B249" s="147"/>
      <c r="C249" s="147"/>
      <c r="D249" s="147"/>
      <c r="E249" s="147"/>
      <c r="F249" s="147"/>
      <c r="G249" s="147"/>
      <c r="H249" s="147"/>
      <c r="I249" s="147"/>
      <c r="J249" s="147"/>
      <c r="K249" s="147"/>
      <c r="L249" s="42"/>
      <c r="M249" s="42"/>
      <c r="N249" s="42"/>
      <c r="O249" s="42"/>
      <c r="P249" s="42"/>
      <c r="Q249" s="42"/>
      <c r="R249" s="42"/>
    </row>
    <row r="250" spans="1:18" ht="12.75">
      <c r="A250" s="147"/>
      <c r="B250" s="147"/>
      <c r="C250" s="147"/>
      <c r="D250" s="147"/>
      <c r="E250" s="147"/>
      <c r="F250" s="147"/>
      <c r="G250" s="147"/>
      <c r="H250" s="147"/>
      <c r="I250" s="147"/>
      <c r="J250" s="147"/>
      <c r="K250" s="147"/>
      <c r="L250" s="42"/>
      <c r="M250" s="42"/>
      <c r="N250" s="42"/>
      <c r="O250" s="42"/>
      <c r="P250" s="42"/>
      <c r="Q250" s="42"/>
      <c r="R250" s="42"/>
    </row>
    <row r="251" spans="1:18" ht="12.75">
      <c r="A251" s="147"/>
      <c r="B251" s="147"/>
      <c r="C251" s="147"/>
      <c r="D251" s="147"/>
      <c r="E251" s="147"/>
      <c r="F251" s="147"/>
      <c r="G251" s="147"/>
      <c r="H251" s="147"/>
      <c r="I251" s="147"/>
      <c r="J251" s="147"/>
      <c r="K251" s="147"/>
      <c r="L251" s="42"/>
      <c r="M251" s="42"/>
      <c r="N251" s="42"/>
      <c r="O251" s="42"/>
      <c r="P251" s="42"/>
      <c r="Q251" s="42"/>
      <c r="R251" s="42"/>
    </row>
    <row r="252" spans="1:18" ht="12.75">
      <c r="A252" s="147"/>
      <c r="B252" s="147"/>
      <c r="C252" s="147"/>
      <c r="D252" s="147"/>
      <c r="E252" s="147"/>
      <c r="F252" s="147"/>
      <c r="G252" s="147"/>
      <c r="H252" s="147"/>
      <c r="I252" s="147"/>
      <c r="J252" s="147"/>
      <c r="K252" s="147"/>
      <c r="L252" s="42"/>
      <c r="M252" s="42"/>
      <c r="N252" s="42"/>
      <c r="O252" s="42"/>
      <c r="P252" s="42"/>
      <c r="Q252" s="42"/>
      <c r="R252" s="42"/>
    </row>
    <row r="253" spans="1:18" ht="12.75">
      <c r="A253" s="147"/>
      <c r="B253" s="147"/>
      <c r="C253" s="147"/>
      <c r="D253" s="147"/>
      <c r="E253" s="147"/>
      <c r="F253" s="147"/>
      <c r="G253" s="147"/>
      <c r="H253" s="147"/>
      <c r="I253" s="147"/>
      <c r="J253" s="147"/>
      <c r="K253" s="147"/>
      <c r="L253" s="42"/>
      <c r="M253" s="42"/>
      <c r="N253" s="42"/>
      <c r="O253" s="42"/>
      <c r="P253" s="42"/>
      <c r="Q253" s="42"/>
      <c r="R253" s="42"/>
    </row>
    <row r="254" spans="1:18" ht="12.75">
      <c r="A254" s="147"/>
      <c r="B254" s="147"/>
      <c r="C254" s="147"/>
      <c r="D254" s="147"/>
      <c r="E254" s="147"/>
      <c r="F254" s="147"/>
      <c r="G254" s="147"/>
      <c r="H254" s="147"/>
      <c r="I254" s="147"/>
      <c r="J254" s="147"/>
      <c r="K254" s="147"/>
      <c r="L254" s="42"/>
      <c r="M254" s="42"/>
      <c r="N254" s="42"/>
      <c r="O254" s="42"/>
      <c r="P254" s="42"/>
      <c r="Q254" s="42"/>
      <c r="R254" s="42"/>
    </row>
    <row r="255" spans="1:18" ht="12.75">
      <c r="A255" s="147"/>
      <c r="B255" s="147"/>
      <c r="C255" s="147"/>
      <c r="D255" s="147"/>
      <c r="E255" s="147"/>
      <c r="F255" s="147"/>
      <c r="G255" s="147"/>
      <c r="H255" s="147"/>
      <c r="I255" s="147"/>
      <c r="J255" s="147"/>
      <c r="K255" s="147"/>
      <c r="L255" s="42"/>
      <c r="M255" s="42"/>
      <c r="N255" s="42"/>
      <c r="O255" s="42"/>
      <c r="P255" s="42"/>
      <c r="Q255" s="42"/>
      <c r="R255" s="42"/>
    </row>
    <row r="256" spans="1:18" ht="12.75">
      <c r="A256" s="147"/>
      <c r="B256" s="147"/>
      <c r="C256" s="147"/>
      <c r="D256" s="147"/>
      <c r="E256" s="147"/>
      <c r="F256" s="147"/>
      <c r="G256" s="147"/>
      <c r="H256" s="147"/>
      <c r="I256" s="147"/>
      <c r="J256" s="147"/>
      <c r="K256" s="147"/>
      <c r="L256" s="42"/>
      <c r="M256" s="42"/>
      <c r="N256" s="42"/>
      <c r="O256" s="42"/>
      <c r="P256" s="42"/>
      <c r="Q256" s="42"/>
      <c r="R256" s="42"/>
    </row>
    <row r="257" spans="1:18" ht="12.75">
      <c r="A257" s="147"/>
      <c r="B257" s="147"/>
      <c r="C257" s="147"/>
      <c r="D257" s="147"/>
      <c r="E257" s="147"/>
      <c r="F257" s="147"/>
      <c r="G257" s="147"/>
      <c r="H257" s="147"/>
      <c r="I257" s="147"/>
      <c r="J257" s="147"/>
      <c r="K257" s="147"/>
      <c r="L257" s="42"/>
      <c r="M257" s="42"/>
      <c r="N257" s="42"/>
      <c r="O257" s="42"/>
      <c r="P257" s="42"/>
      <c r="Q257" s="42"/>
      <c r="R257" s="42"/>
    </row>
    <row r="258" spans="1:18" ht="12.75">
      <c r="A258" s="147"/>
      <c r="B258" s="147"/>
      <c r="C258" s="147"/>
      <c r="D258" s="147"/>
      <c r="E258" s="147"/>
      <c r="F258" s="147"/>
      <c r="G258" s="147"/>
      <c r="H258" s="147"/>
      <c r="I258" s="147"/>
      <c r="J258" s="147"/>
      <c r="K258" s="147"/>
      <c r="L258" s="42"/>
      <c r="M258" s="42"/>
      <c r="N258" s="42"/>
      <c r="O258" s="42"/>
      <c r="P258" s="42"/>
      <c r="Q258" s="42"/>
      <c r="R258" s="42"/>
    </row>
    <row r="259" spans="1:18" ht="12.75">
      <c r="A259" s="147"/>
      <c r="B259" s="147"/>
      <c r="C259" s="147"/>
      <c r="D259" s="147"/>
      <c r="E259" s="147"/>
      <c r="F259" s="147"/>
      <c r="G259" s="147"/>
      <c r="H259" s="147"/>
      <c r="I259" s="147"/>
      <c r="J259" s="147"/>
      <c r="K259" s="147"/>
      <c r="L259" s="42"/>
      <c r="M259" s="42"/>
      <c r="N259" s="42"/>
      <c r="O259" s="42"/>
      <c r="P259" s="42"/>
      <c r="Q259" s="42"/>
      <c r="R259" s="42"/>
    </row>
    <row r="260" spans="1:18" ht="12.75">
      <c r="A260" s="147"/>
      <c r="B260" s="147"/>
      <c r="C260" s="147"/>
      <c r="D260" s="147"/>
      <c r="E260" s="147"/>
      <c r="F260" s="147"/>
      <c r="G260" s="147"/>
      <c r="H260" s="147"/>
      <c r="I260" s="147"/>
      <c r="J260" s="147"/>
      <c r="K260" s="147"/>
      <c r="L260" s="42"/>
      <c r="M260" s="42"/>
      <c r="N260" s="42"/>
      <c r="O260" s="42"/>
      <c r="P260" s="42"/>
      <c r="Q260" s="42"/>
      <c r="R260" s="42"/>
    </row>
    <row r="261" spans="1:18" ht="12.75">
      <c r="A261" s="147"/>
      <c r="B261" s="147"/>
      <c r="C261" s="147"/>
      <c r="D261" s="147"/>
      <c r="E261" s="147"/>
      <c r="F261" s="147"/>
      <c r="G261" s="147"/>
      <c r="H261" s="147"/>
      <c r="I261" s="147"/>
      <c r="J261" s="147"/>
      <c r="K261" s="147"/>
      <c r="L261" s="42"/>
      <c r="M261" s="42"/>
      <c r="N261" s="42"/>
      <c r="O261" s="42"/>
      <c r="P261" s="42"/>
      <c r="Q261" s="42"/>
      <c r="R261" s="42"/>
    </row>
    <row r="262" spans="1:18" ht="12.75">
      <c r="A262" s="147"/>
      <c r="B262" s="147"/>
      <c r="C262" s="147"/>
      <c r="D262" s="147"/>
      <c r="E262" s="147"/>
      <c r="F262" s="147"/>
      <c r="G262" s="147"/>
      <c r="H262" s="147"/>
      <c r="I262" s="147"/>
      <c r="J262" s="147"/>
      <c r="K262" s="147"/>
      <c r="L262" s="42"/>
      <c r="M262" s="42"/>
      <c r="N262" s="42"/>
      <c r="O262" s="42"/>
      <c r="P262" s="42"/>
      <c r="Q262" s="42"/>
      <c r="R262" s="42"/>
    </row>
    <row r="263" spans="1:18" ht="12.75">
      <c r="A263" s="147"/>
      <c r="B263" s="147"/>
      <c r="C263" s="147"/>
      <c r="D263" s="147"/>
      <c r="E263" s="147"/>
      <c r="F263" s="147"/>
      <c r="G263" s="147"/>
      <c r="H263" s="147"/>
      <c r="I263" s="147"/>
      <c r="J263" s="147"/>
      <c r="K263" s="147"/>
      <c r="L263" s="42"/>
      <c r="M263" s="42"/>
      <c r="N263" s="42"/>
      <c r="O263" s="42"/>
      <c r="P263" s="42"/>
      <c r="Q263" s="42"/>
      <c r="R263" s="42"/>
    </row>
    <row r="264" spans="1:18" ht="12.75">
      <c r="A264" s="147"/>
      <c r="B264" s="147"/>
      <c r="C264" s="147"/>
      <c r="D264" s="147"/>
      <c r="E264" s="147"/>
      <c r="F264" s="147"/>
      <c r="G264" s="147"/>
      <c r="H264" s="147"/>
      <c r="I264" s="147"/>
      <c r="J264" s="147"/>
      <c r="K264" s="147"/>
      <c r="L264" s="42"/>
      <c r="M264" s="42"/>
      <c r="N264" s="42"/>
      <c r="O264" s="42"/>
      <c r="P264" s="42"/>
      <c r="Q264" s="42"/>
      <c r="R264" s="42"/>
    </row>
    <row r="265" spans="1:18" ht="12.75">
      <c r="A265" s="147"/>
      <c r="B265" s="147"/>
      <c r="C265" s="147"/>
      <c r="D265" s="147"/>
      <c r="E265" s="147"/>
      <c r="F265" s="147"/>
      <c r="G265" s="147"/>
      <c r="H265" s="147"/>
      <c r="I265" s="147"/>
      <c r="J265" s="147"/>
      <c r="K265" s="147"/>
      <c r="L265" s="42"/>
      <c r="M265" s="42"/>
      <c r="N265" s="42"/>
      <c r="O265" s="42"/>
      <c r="P265" s="42"/>
      <c r="Q265" s="42"/>
      <c r="R265" s="42"/>
    </row>
    <row r="266" spans="1:18" ht="12.75">
      <c r="A266" s="147"/>
      <c r="B266" s="147"/>
      <c r="C266" s="147"/>
      <c r="D266" s="147"/>
      <c r="E266" s="147"/>
      <c r="F266" s="147"/>
      <c r="G266" s="147"/>
      <c r="H266" s="147"/>
      <c r="I266" s="147"/>
      <c r="J266" s="147"/>
      <c r="K266" s="147"/>
      <c r="L266" s="42"/>
      <c r="M266" s="42"/>
      <c r="N266" s="42"/>
      <c r="O266" s="42"/>
      <c r="P266" s="42"/>
      <c r="Q266" s="42"/>
      <c r="R266" s="42"/>
    </row>
    <row r="267" spans="1:18" ht="12.75">
      <c r="A267" s="147"/>
      <c r="B267" s="147"/>
      <c r="C267" s="147"/>
      <c r="D267" s="147"/>
      <c r="E267" s="147"/>
      <c r="F267" s="147"/>
      <c r="G267" s="147"/>
      <c r="H267" s="147"/>
      <c r="I267" s="147"/>
      <c r="J267" s="147"/>
      <c r="K267" s="147"/>
      <c r="L267" s="42"/>
      <c r="M267" s="42"/>
      <c r="N267" s="42"/>
      <c r="O267" s="42"/>
      <c r="P267" s="42"/>
      <c r="Q267" s="42"/>
      <c r="R267" s="42"/>
    </row>
    <row r="268" spans="1:18" ht="12.75">
      <c r="A268" s="147"/>
      <c r="B268" s="147"/>
      <c r="C268" s="147"/>
      <c r="D268" s="147"/>
      <c r="E268" s="147"/>
      <c r="F268" s="147"/>
      <c r="G268" s="147"/>
      <c r="H268" s="147"/>
      <c r="I268" s="147"/>
      <c r="J268" s="147"/>
      <c r="K268" s="147"/>
      <c r="L268" s="42"/>
      <c r="M268" s="42"/>
      <c r="N268" s="42"/>
      <c r="O268" s="42"/>
      <c r="P268" s="42"/>
      <c r="Q268" s="42"/>
      <c r="R268" s="42"/>
    </row>
    <row r="269" spans="1:18" ht="12.75">
      <c r="A269" s="147"/>
      <c r="B269" s="147"/>
      <c r="C269" s="147"/>
      <c r="D269" s="147"/>
      <c r="E269" s="147"/>
      <c r="F269" s="147"/>
      <c r="G269" s="147"/>
      <c r="H269" s="147"/>
      <c r="I269" s="147"/>
      <c r="J269" s="147"/>
      <c r="K269" s="147"/>
      <c r="L269" s="42"/>
      <c r="M269" s="42"/>
      <c r="N269" s="42"/>
      <c r="O269" s="42"/>
      <c r="P269" s="42"/>
      <c r="Q269" s="42"/>
      <c r="R269" s="42"/>
    </row>
    <row r="270" spans="1:18" ht="12.75">
      <c r="A270" s="147"/>
      <c r="B270" s="147"/>
      <c r="C270" s="147"/>
      <c r="D270" s="147"/>
      <c r="E270" s="147"/>
      <c r="F270" s="147"/>
      <c r="G270" s="147"/>
      <c r="H270" s="147"/>
      <c r="I270" s="147"/>
      <c r="J270" s="147"/>
      <c r="K270" s="147"/>
      <c r="L270" s="42"/>
      <c r="M270" s="42"/>
      <c r="N270" s="42"/>
      <c r="O270" s="42"/>
      <c r="P270" s="42"/>
      <c r="Q270" s="42"/>
      <c r="R270" s="42"/>
    </row>
    <row r="271" spans="1:18" ht="12.75">
      <c r="A271" s="147"/>
      <c r="B271" s="147"/>
      <c r="C271" s="147"/>
      <c r="D271" s="147"/>
      <c r="E271" s="147"/>
      <c r="F271" s="147"/>
      <c r="G271" s="147"/>
      <c r="H271" s="147"/>
      <c r="I271" s="147"/>
      <c r="J271" s="147"/>
      <c r="K271" s="147"/>
      <c r="L271" s="42"/>
      <c r="M271" s="42"/>
      <c r="N271" s="42"/>
      <c r="O271" s="42"/>
      <c r="P271" s="42"/>
      <c r="Q271" s="42"/>
      <c r="R271" s="42"/>
    </row>
    <row r="272" spans="1:18" ht="12.75">
      <c r="A272" s="147"/>
      <c r="B272" s="147"/>
      <c r="C272" s="147"/>
      <c r="D272" s="147"/>
      <c r="E272" s="147"/>
      <c r="F272" s="147"/>
      <c r="G272" s="147"/>
      <c r="H272" s="147"/>
      <c r="I272" s="147"/>
      <c r="J272" s="147"/>
      <c r="K272" s="147"/>
      <c r="L272" s="42"/>
      <c r="M272" s="42"/>
      <c r="N272" s="42"/>
      <c r="O272" s="42"/>
      <c r="P272" s="42"/>
      <c r="Q272" s="42"/>
      <c r="R272" s="42"/>
    </row>
    <row r="273" spans="1:18" ht="12.75">
      <c r="A273" s="147"/>
      <c r="B273" s="147"/>
      <c r="C273" s="147"/>
      <c r="D273" s="147"/>
      <c r="E273" s="147"/>
      <c r="F273" s="147"/>
      <c r="G273" s="147"/>
      <c r="H273" s="147"/>
      <c r="I273" s="147"/>
      <c r="J273" s="147"/>
      <c r="K273" s="147"/>
      <c r="L273" s="42"/>
      <c r="M273" s="42"/>
      <c r="N273" s="42"/>
      <c r="O273" s="42"/>
      <c r="P273" s="42"/>
      <c r="Q273" s="42"/>
      <c r="R273" s="42"/>
    </row>
    <row r="274" spans="1:18" ht="12.75">
      <c r="A274" s="147"/>
      <c r="B274" s="147"/>
      <c r="C274" s="147"/>
      <c r="D274" s="147"/>
      <c r="E274" s="147"/>
      <c r="F274" s="147"/>
      <c r="G274" s="147"/>
      <c r="H274" s="147"/>
      <c r="I274" s="147"/>
      <c r="J274" s="147"/>
      <c r="K274" s="147"/>
      <c r="L274" s="42"/>
      <c r="M274" s="42"/>
      <c r="N274" s="42"/>
      <c r="O274" s="42"/>
      <c r="P274" s="42"/>
      <c r="Q274" s="42"/>
      <c r="R274" s="42"/>
    </row>
    <row r="275" spans="1:18" ht="12.75">
      <c r="A275" s="147"/>
      <c r="B275" s="147"/>
      <c r="C275" s="147"/>
      <c r="D275" s="147"/>
      <c r="E275" s="147"/>
      <c r="F275" s="147"/>
      <c r="G275" s="147"/>
      <c r="H275" s="147"/>
      <c r="I275" s="147"/>
      <c r="J275" s="147"/>
      <c r="K275" s="147"/>
      <c r="L275" s="42"/>
      <c r="M275" s="42"/>
      <c r="N275" s="42"/>
      <c r="O275" s="42"/>
      <c r="P275" s="42"/>
      <c r="Q275" s="42"/>
      <c r="R275" s="42"/>
    </row>
    <row r="276" spans="1:18" ht="12.75">
      <c r="A276" s="147"/>
      <c r="B276" s="147"/>
      <c r="C276" s="147"/>
      <c r="D276" s="147"/>
      <c r="E276" s="147"/>
      <c r="F276" s="147"/>
      <c r="G276" s="147"/>
      <c r="H276" s="147"/>
      <c r="I276" s="147"/>
      <c r="J276" s="147"/>
      <c r="K276" s="147"/>
      <c r="L276" s="42"/>
      <c r="M276" s="42"/>
      <c r="N276" s="42"/>
      <c r="O276" s="42"/>
      <c r="P276" s="42"/>
      <c r="Q276" s="42"/>
      <c r="R276" s="42"/>
    </row>
    <row r="277" spans="1:18" ht="12.75">
      <c r="A277" s="147"/>
      <c r="B277" s="147"/>
      <c r="C277" s="147"/>
      <c r="D277" s="147"/>
      <c r="E277" s="147"/>
      <c r="F277" s="147"/>
      <c r="G277" s="147"/>
      <c r="H277" s="147"/>
      <c r="I277" s="147"/>
      <c r="J277" s="147"/>
      <c r="K277" s="147"/>
      <c r="L277" s="42"/>
      <c r="M277" s="42"/>
      <c r="N277" s="42"/>
      <c r="O277" s="42"/>
      <c r="P277" s="42"/>
      <c r="Q277" s="42"/>
      <c r="R277" s="42"/>
    </row>
    <row r="278" spans="1:18" ht="12.75">
      <c r="A278" s="147"/>
      <c r="B278" s="147"/>
      <c r="C278" s="147"/>
      <c r="D278" s="147"/>
      <c r="E278" s="147"/>
      <c r="F278" s="147"/>
      <c r="G278" s="147"/>
      <c r="H278" s="147"/>
      <c r="I278" s="147"/>
      <c r="J278" s="147"/>
      <c r="K278" s="147"/>
      <c r="L278" s="42"/>
      <c r="M278" s="42"/>
      <c r="N278" s="42"/>
      <c r="O278" s="42"/>
      <c r="P278" s="42"/>
      <c r="Q278" s="42"/>
      <c r="R278" s="42"/>
    </row>
    <row r="279" spans="1:18" ht="12.75">
      <c r="A279" s="147"/>
      <c r="B279" s="147"/>
      <c r="C279" s="147"/>
      <c r="D279" s="147"/>
      <c r="E279" s="147"/>
      <c r="F279" s="147"/>
      <c r="G279" s="147"/>
      <c r="H279" s="147"/>
      <c r="I279" s="147"/>
      <c r="J279" s="147"/>
      <c r="K279" s="147"/>
      <c r="L279" s="42"/>
      <c r="M279" s="42"/>
      <c r="N279" s="42"/>
      <c r="O279" s="42"/>
      <c r="P279" s="42"/>
      <c r="Q279" s="42"/>
      <c r="R279" s="42"/>
    </row>
    <row r="280" spans="1:18" ht="12.75">
      <c r="A280" s="147"/>
      <c r="B280" s="147"/>
      <c r="C280" s="147"/>
      <c r="D280" s="147"/>
      <c r="E280" s="147"/>
      <c r="F280" s="147"/>
      <c r="G280" s="147"/>
      <c r="H280" s="147"/>
      <c r="I280" s="147"/>
      <c r="J280" s="147"/>
      <c r="K280" s="147"/>
      <c r="L280" s="42"/>
      <c r="M280" s="42"/>
      <c r="N280" s="42"/>
      <c r="O280" s="42"/>
      <c r="P280" s="42"/>
      <c r="Q280" s="42"/>
      <c r="R280" s="42"/>
    </row>
    <row r="281" spans="1:18" ht="12.75">
      <c r="A281" s="147"/>
      <c r="B281" s="147"/>
      <c r="C281" s="147"/>
      <c r="D281" s="147"/>
      <c r="E281" s="147"/>
      <c r="F281" s="147"/>
      <c r="G281" s="147"/>
      <c r="H281" s="147"/>
      <c r="I281" s="147"/>
      <c r="J281" s="147"/>
      <c r="K281" s="147"/>
      <c r="L281" s="42"/>
      <c r="M281" s="42"/>
      <c r="N281" s="42"/>
      <c r="O281" s="42"/>
      <c r="P281" s="42"/>
      <c r="Q281" s="42"/>
      <c r="R281" s="42"/>
    </row>
    <row r="282" spans="1:18" ht="12.75">
      <c r="A282" s="147"/>
      <c r="B282" s="147"/>
      <c r="C282" s="147"/>
      <c r="D282" s="147"/>
      <c r="E282" s="147"/>
      <c r="F282" s="147"/>
      <c r="G282" s="147"/>
      <c r="H282" s="147"/>
      <c r="I282" s="147"/>
      <c r="J282" s="147"/>
      <c r="K282" s="147"/>
      <c r="L282" s="42"/>
      <c r="M282" s="42"/>
      <c r="N282" s="42"/>
      <c r="O282" s="42"/>
      <c r="P282" s="42"/>
      <c r="Q282" s="42"/>
      <c r="R282" s="42"/>
    </row>
    <row r="283" spans="1:18" ht="12.75">
      <c r="A283" s="147"/>
      <c r="B283" s="147"/>
      <c r="C283" s="147"/>
      <c r="D283" s="147"/>
      <c r="E283" s="147"/>
      <c r="F283" s="147"/>
      <c r="G283" s="147"/>
      <c r="H283" s="147"/>
      <c r="I283" s="147"/>
      <c r="J283" s="147"/>
      <c r="K283" s="147"/>
      <c r="L283" s="42"/>
      <c r="M283" s="42"/>
      <c r="N283" s="42"/>
      <c r="O283" s="42"/>
      <c r="P283" s="42"/>
      <c r="Q283" s="42"/>
      <c r="R283" s="42"/>
    </row>
    <row r="284" spans="1:18" ht="12.75">
      <c r="A284" s="147"/>
      <c r="B284" s="147"/>
      <c r="C284" s="147"/>
      <c r="D284" s="147"/>
      <c r="E284" s="147"/>
      <c r="F284" s="147"/>
      <c r="G284" s="147"/>
      <c r="H284" s="147"/>
      <c r="I284" s="147"/>
      <c r="J284" s="147"/>
      <c r="K284" s="147"/>
      <c r="L284" s="42"/>
      <c r="M284" s="42"/>
      <c r="N284" s="42"/>
      <c r="O284" s="42"/>
      <c r="P284" s="42"/>
      <c r="Q284" s="42"/>
      <c r="R284" s="42"/>
    </row>
    <row r="285" spans="1:18" ht="12.75">
      <c r="A285" s="147"/>
      <c r="B285" s="147"/>
      <c r="C285" s="147"/>
      <c r="D285" s="147"/>
      <c r="E285" s="147"/>
      <c r="F285" s="147"/>
      <c r="G285" s="147"/>
      <c r="H285" s="147"/>
      <c r="I285" s="147"/>
      <c r="J285" s="147"/>
      <c r="K285" s="147"/>
      <c r="L285" s="42"/>
      <c r="M285" s="42"/>
      <c r="N285" s="42"/>
      <c r="O285" s="42"/>
      <c r="P285" s="42"/>
      <c r="Q285" s="42"/>
      <c r="R285" s="42"/>
    </row>
    <row r="286" spans="1:18" ht="12.75">
      <c r="A286" s="147"/>
      <c r="B286" s="147"/>
      <c r="C286" s="147"/>
      <c r="D286" s="147"/>
      <c r="E286" s="147"/>
      <c r="F286" s="147"/>
      <c r="G286" s="147"/>
      <c r="H286" s="147"/>
      <c r="I286" s="147"/>
      <c r="J286" s="147"/>
      <c r="K286" s="147"/>
      <c r="L286" s="42"/>
      <c r="M286" s="42"/>
      <c r="N286" s="42"/>
      <c r="O286" s="42"/>
      <c r="P286" s="42"/>
      <c r="Q286" s="42"/>
      <c r="R286" s="42"/>
    </row>
    <row r="287" spans="1:18" ht="12.75">
      <c r="A287" s="147"/>
      <c r="B287" s="147"/>
      <c r="C287" s="147"/>
      <c r="D287" s="147"/>
      <c r="E287" s="147"/>
      <c r="F287" s="147"/>
      <c r="G287" s="147"/>
      <c r="H287" s="147"/>
      <c r="I287" s="147"/>
      <c r="J287" s="147"/>
      <c r="K287" s="147"/>
      <c r="L287" s="42"/>
      <c r="M287" s="42"/>
      <c r="N287" s="42"/>
      <c r="O287" s="42"/>
      <c r="P287" s="42"/>
      <c r="Q287" s="42"/>
      <c r="R287" s="42"/>
    </row>
    <row r="288" spans="1:18" ht="12.75">
      <c r="A288" s="147"/>
      <c r="B288" s="147"/>
      <c r="C288" s="147"/>
      <c r="D288" s="147"/>
      <c r="E288" s="147"/>
      <c r="F288" s="147"/>
      <c r="G288" s="147"/>
      <c r="H288" s="147"/>
      <c r="I288" s="147"/>
      <c r="J288" s="147"/>
      <c r="K288" s="147"/>
      <c r="L288" s="42"/>
      <c r="M288" s="42"/>
      <c r="N288" s="42"/>
      <c r="O288" s="42"/>
      <c r="P288" s="42"/>
      <c r="Q288" s="42"/>
      <c r="R288" s="42"/>
    </row>
    <row r="289" spans="1:18" ht="12.75">
      <c r="A289" s="147"/>
      <c r="B289" s="147"/>
      <c r="C289" s="147"/>
      <c r="D289" s="147"/>
      <c r="E289" s="147"/>
      <c r="F289" s="147"/>
      <c r="G289" s="147"/>
      <c r="H289" s="147"/>
      <c r="I289" s="147"/>
      <c r="J289" s="147"/>
      <c r="K289" s="147"/>
      <c r="L289" s="42"/>
      <c r="M289" s="42"/>
      <c r="N289" s="42"/>
      <c r="O289" s="42"/>
      <c r="P289" s="42"/>
      <c r="Q289" s="42"/>
      <c r="R289" s="42"/>
    </row>
    <row r="290" spans="1:18" ht="12.75">
      <c r="A290" s="147"/>
      <c r="B290" s="147"/>
      <c r="C290" s="147"/>
      <c r="D290" s="147"/>
      <c r="E290" s="147"/>
      <c r="F290" s="147"/>
      <c r="G290" s="147"/>
      <c r="H290" s="147"/>
      <c r="I290" s="147"/>
      <c r="J290" s="147"/>
      <c r="K290" s="147"/>
      <c r="L290" s="42"/>
      <c r="M290" s="42"/>
      <c r="N290" s="42"/>
      <c r="O290" s="42"/>
      <c r="P290" s="42"/>
      <c r="Q290" s="42"/>
      <c r="R290" s="42"/>
    </row>
    <row r="291" spans="1:18" ht="12.75">
      <c r="A291" s="147"/>
      <c r="B291" s="147"/>
      <c r="C291" s="147"/>
      <c r="D291" s="147"/>
      <c r="E291" s="147"/>
      <c r="F291" s="147"/>
      <c r="G291" s="147"/>
      <c r="H291" s="147"/>
      <c r="I291" s="147"/>
      <c r="J291" s="147"/>
      <c r="K291" s="147"/>
      <c r="L291" s="42"/>
      <c r="M291" s="42"/>
      <c r="N291" s="42"/>
      <c r="O291" s="42"/>
      <c r="P291" s="42"/>
      <c r="Q291" s="42"/>
      <c r="R291" s="42"/>
    </row>
    <row r="292" spans="1:18" ht="12.75">
      <c r="A292" s="147"/>
      <c r="B292" s="147"/>
      <c r="C292" s="147"/>
      <c r="D292" s="147"/>
      <c r="E292" s="147"/>
      <c r="F292" s="147"/>
      <c r="G292" s="147"/>
      <c r="H292" s="147"/>
      <c r="I292" s="147"/>
      <c r="J292" s="147"/>
      <c r="K292" s="147"/>
      <c r="L292" s="42"/>
      <c r="M292" s="42"/>
      <c r="N292" s="42"/>
      <c r="O292" s="42"/>
      <c r="P292" s="42"/>
      <c r="Q292" s="42"/>
      <c r="R292" s="42"/>
    </row>
    <row r="293" spans="1:18" ht="12.75">
      <c r="A293" s="147"/>
      <c r="B293" s="147"/>
      <c r="C293" s="147"/>
      <c r="D293" s="147"/>
      <c r="E293" s="147"/>
      <c r="F293" s="147"/>
      <c r="G293" s="147"/>
      <c r="H293" s="147"/>
      <c r="I293" s="147"/>
      <c r="J293" s="147"/>
      <c r="K293" s="147"/>
      <c r="L293" s="42"/>
      <c r="M293" s="42"/>
      <c r="N293" s="42"/>
      <c r="O293" s="42"/>
      <c r="P293" s="42"/>
      <c r="Q293" s="42"/>
      <c r="R293" s="42"/>
    </row>
    <row r="294" spans="1:18" ht="12.75">
      <c r="A294" s="147"/>
      <c r="B294" s="147"/>
      <c r="C294" s="147"/>
      <c r="D294" s="147"/>
      <c r="E294" s="147"/>
      <c r="F294" s="147"/>
      <c r="G294" s="147"/>
      <c r="H294" s="147"/>
      <c r="I294" s="147"/>
      <c r="J294" s="147"/>
      <c r="K294" s="147"/>
      <c r="L294" s="42"/>
      <c r="M294" s="42"/>
      <c r="N294" s="42"/>
      <c r="O294" s="42"/>
      <c r="P294" s="42"/>
      <c r="Q294" s="42"/>
      <c r="R294" s="42"/>
    </row>
    <row r="295" spans="1:18" ht="12.75">
      <c r="A295" s="147"/>
      <c r="B295" s="147"/>
      <c r="C295" s="147"/>
      <c r="D295" s="147"/>
      <c r="E295" s="147"/>
      <c r="F295" s="147"/>
      <c r="G295" s="147"/>
      <c r="H295" s="147"/>
      <c r="I295" s="147"/>
      <c r="J295" s="147"/>
      <c r="K295" s="147"/>
      <c r="L295" s="42"/>
      <c r="M295" s="42"/>
      <c r="N295" s="42"/>
      <c r="O295" s="42"/>
      <c r="P295" s="42"/>
      <c r="Q295" s="42"/>
      <c r="R295" s="42"/>
    </row>
    <row r="296" spans="1:18" ht="12.7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</row>
    <row r="297" spans="1:18" ht="12.7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</row>
    <row r="298" spans="1:18" ht="12.7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</row>
    <row r="299" spans="1:18" ht="12.7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</row>
    <row r="300" spans="1:18" ht="12.7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</row>
    <row r="301" spans="1:18" ht="12.7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</row>
    <row r="302" spans="1:18" ht="12.7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</row>
    <row r="303" spans="1:18" ht="12.75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</row>
    <row r="304" spans="1:18" ht="12.7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</row>
    <row r="305" spans="1:18" ht="12.7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</row>
    <row r="306" spans="1:18" ht="12.7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</row>
  </sheetData>
  <mergeCells count="7">
    <mergeCell ref="A115:J115"/>
    <mergeCell ref="A2:J2"/>
    <mergeCell ref="A3:J3"/>
    <mergeCell ref="A4:J4"/>
    <mergeCell ref="H17:J17"/>
    <mergeCell ref="D17:F17"/>
    <mergeCell ref="A113:J113"/>
  </mergeCells>
  <printOptions horizontalCentered="1"/>
  <pageMargins left="0" right="0" top="0" bottom="0" header="0.15" footer="0"/>
  <pageSetup fitToHeight="0" fitToWidth="0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zoomScale="75" zoomScaleNormal="75" workbookViewId="0" topLeftCell="A25">
      <selection activeCell="H71" sqref="H71"/>
    </sheetView>
  </sheetViews>
  <sheetFormatPr defaultColWidth="9.140625" defaultRowHeight="12.75"/>
  <cols>
    <col min="1" max="1" width="3.140625" style="88" customWidth="1"/>
    <col min="2" max="2" width="2.7109375" style="88" customWidth="1"/>
    <col min="3" max="3" width="18.7109375" style="88" customWidth="1"/>
    <col min="4" max="4" width="9.140625" style="88" customWidth="1"/>
    <col min="5" max="5" width="12.8515625" style="88" customWidth="1"/>
    <col min="6" max="6" width="10.28125" style="88" customWidth="1"/>
    <col min="7" max="8" width="15.7109375" style="88" customWidth="1"/>
    <col min="9" max="9" width="2.7109375" style="88" customWidth="1"/>
    <col min="10" max="10" width="18.7109375" style="88" customWidth="1"/>
    <col min="11" max="14" width="15.7109375" style="88" customWidth="1"/>
    <col min="15" max="16384" width="9.140625" style="88" customWidth="1"/>
  </cols>
  <sheetData>
    <row r="1" spans="1:11" ht="15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>
      <c r="A2" s="239" t="s">
        <v>18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>
      <c r="A3" s="239" t="s">
        <v>19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1" ht="12.75">
      <c r="A4" s="181"/>
      <c r="B4" s="181"/>
      <c r="C4" s="181"/>
      <c r="D4" s="181"/>
      <c r="E4" s="181"/>
      <c r="F4" s="181"/>
      <c r="G4" s="181"/>
      <c r="K4" s="182"/>
    </row>
    <row r="5" spans="1:12" ht="13.5" thickBot="1">
      <c r="A5" s="177" t="s">
        <v>235</v>
      </c>
      <c r="B5" s="178"/>
      <c r="C5" s="178"/>
      <c r="D5" s="178"/>
      <c r="E5" s="178"/>
      <c r="F5" s="178"/>
      <c r="G5" s="178"/>
      <c r="H5" s="179"/>
      <c r="I5" s="179"/>
      <c r="J5" s="179"/>
      <c r="K5" s="180"/>
      <c r="L5" s="180"/>
    </row>
    <row r="6" spans="1:7" ht="15.75">
      <c r="A6" s="176"/>
      <c r="B6" s="183"/>
      <c r="C6" s="184"/>
      <c r="D6" s="185"/>
      <c r="E6" s="185"/>
      <c r="F6" s="185"/>
      <c r="G6" s="84"/>
    </row>
    <row r="7" spans="1:7" ht="15.75">
      <c r="A7" s="186" t="s">
        <v>248</v>
      </c>
      <c r="B7" s="183"/>
      <c r="C7" s="184"/>
      <c r="D7" s="185"/>
      <c r="E7" s="185"/>
      <c r="F7" s="185"/>
      <c r="G7" s="84"/>
    </row>
    <row r="8" spans="1:10" ht="15.75">
      <c r="A8" s="187" t="s">
        <v>247</v>
      </c>
      <c r="B8" s="183"/>
      <c r="C8" s="184"/>
      <c r="D8" s="185"/>
      <c r="E8" s="185"/>
      <c r="F8" s="185"/>
      <c r="G8" s="84"/>
      <c r="J8" s="188"/>
    </row>
    <row r="9" spans="1:10" ht="15.75">
      <c r="A9" s="186"/>
      <c r="B9" s="183"/>
      <c r="C9" s="184"/>
      <c r="D9" s="185"/>
      <c r="E9" s="185"/>
      <c r="F9" s="185"/>
      <c r="G9" s="84"/>
      <c r="J9" s="85" t="s">
        <v>231</v>
      </c>
    </row>
    <row r="10" spans="1:10" ht="15.75">
      <c r="A10" s="186"/>
      <c r="B10" s="183"/>
      <c r="C10" s="184"/>
      <c r="D10" s="185"/>
      <c r="E10" s="185"/>
      <c r="F10" s="185"/>
      <c r="G10" s="84"/>
      <c r="H10" s="98" t="s">
        <v>95</v>
      </c>
      <c r="I10" s="89"/>
      <c r="J10" s="85" t="s">
        <v>54</v>
      </c>
    </row>
    <row r="11" spans="1:10" ht="15.75">
      <c r="A11" s="186"/>
      <c r="B11" s="183"/>
      <c r="C11" s="184"/>
      <c r="D11" s="185"/>
      <c r="E11" s="185"/>
      <c r="F11" s="185"/>
      <c r="G11" s="84"/>
      <c r="H11" s="98" t="s">
        <v>181</v>
      </c>
      <c r="I11" s="89"/>
      <c r="J11" s="98" t="s">
        <v>181</v>
      </c>
    </row>
    <row r="12" spans="1:10" ht="15.75">
      <c r="A12" s="186"/>
      <c r="B12" s="183"/>
      <c r="C12" s="184"/>
      <c r="D12" s="185"/>
      <c r="E12" s="185"/>
      <c r="F12" s="185"/>
      <c r="G12" s="84"/>
      <c r="H12" s="85" t="s">
        <v>15</v>
      </c>
      <c r="I12" s="89"/>
      <c r="J12" s="85" t="s">
        <v>15</v>
      </c>
    </row>
    <row r="13" spans="1:10" ht="15.75">
      <c r="A13" s="186"/>
      <c r="B13" s="183"/>
      <c r="C13" s="184"/>
      <c r="D13" s="185"/>
      <c r="E13" s="185"/>
      <c r="F13" s="185"/>
      <c r="G13" s="84"/>
      <c r="H13" s="86" t="s">
        <v>233</v>
      </c>
      <c r="I13" s="189"/>
      <c r="J13" s="190" t="s">
        <v>236</v>
      </c>
    </row>
    <row r="14" spans="1:11" ht="12.75" customHeight="1">
      <c r="A14" s="186"/>
      <c r="B14" s="183"/>
      <c r="C14" s="184"/>
      <c r="D14" s="185"/>
      <c r="E14" s="185"/>
      <c r="F14" s="185"/>
      <c r="G14" s="84"/>
      <c r="H14" s="86"/>
      <c r="I14" s="189"/>
      <c r="J14" s="140" t="s">
        <v>187</v>
      </c>
      <c r="K14" s="65"/>
    </row>
    <row r="15" spans="8:10" ht="12.75">
      <c r="H15" s="85" t="s">
        <v>5</v>
      </c>
      <c r="J15" s="85" t="s">
        <v>5</v>
      </c>
    </row>
    <row r="16" ht="12.75">
      <c r="A16" s="101" t="s">
        <v>31</v>
      </c>
    </row>
    <row r="17" spans="2:13" ht="12.75">
      <c r="B17" s="96" t="s">
        <v>210</v>
      </c>
      <c r="H17" s="83">
        <f>'P&amp;L'!H45</f>
        <v>72252.96982998052</v>
      </c>
      <c r="J17" s="83">
        <f>'P&amp;L'!J45</f>
        <v>29040</v>
      </c>
      <c r="M17" s="147"/>
    </row>
    <row r="18" spans="8:10" ht="12.75">
      <c r="H18" s="83"/>
      <c r="J18" s="83"/>
    </row>
    <row r="19" spans="2:10" ht="12.75">
      <c r="B19" s="96" t="s">
        <v>46</v>
      </c>
      <c r="H19" s="83"/>
      <c r="J19" s="83"/>
    </row>
    <row r="20" spans="3:10" ht="12.75">
      <c r="C20" s="88" t="s">
        <v>32</v>
      </c>
      <c r="H20" s="83">
        <f>'[5]cashflow'!$J$56</f>
        <v>-57544.05883309177</v>
      </c>
      <c r="J20" s="83">
        <f>-4143</f>
        <v>-4143</v>
      </c>
    </row>
    <row r="21" spans="3:10" ht="12.75">
      <c r="C21" s="88" t="s">
        <v>33</v>
      </c>
      <c r="H21" s="83">
        <f>'[5]cashflow'!$H$47</f>
        <v>9952.023211908996</v>
      </c>
      <c r="J21" s="83">
        <f>7523</f>
        <v>7523</v>
      </c>
    </row>
    <row r="22" spans="3:10" ht="12.75">
      <c r="C22" s="88" t="s">
        <v>34</v>
      </c>
      <c r="H22" s="83">
        <f>'[5]cashflow'!$H$48</f>
        <v>-5710.459166930001</v>
      </c>
      <c r="J22" s="83">
        <f>-6679</f>
        <v>-6679</v>
      </c>
    </row>
    <row r="23" spans="8:10" ht="12.75">
      <c r="H23" s="99"/>
      <c r="J23" s="99"/>
    </row>
    <row r="24" spans="2:10" ht="12.75">
      <c r="B24" s="96" t="s">
        <v>223</v>
      </c>
      <c r="H24" s="83">
        <f>SUM(H17:H22)+1</f>
        <v>18951.475041867743</v>
      </c>
      <c r="J24" s="83">
        <f>SUM(J17:J22)</f>
        <v>25741</v>
      </c>
    </row>
    <row r="25" spans="8:10" ht="12.75">
      <c r="H25" s="83"/>
      <c r="J25" s="83"/>
    </row>
    <row r="26" spans="2:10" ht="12.75">
      <c r="B26" s="96" t="s">
        <v>92</v>
      </c>
      <c r="H26" s="83"/>
      <c r="J26" s="83"/>
    </row>
    <row r="27" spans="3:10" ht="12.75">
      <c r="C27" s="88" t="s">
        <v>35</v>
      </c>
      <c r="H27" s="83">
        <f>SUM('[5]cashflow'!$H$59:$H$67)</f>
        <v>-43336.86693432811</v>
      </c>
      <c r="J27" s="83">
        <f>-234169</f>
        <v>-234169</v>
      </c>
    </row>
    <row r="28" spans="3:10" ht="12.75">
      <c r="C28" s="88" t="s">
        <v>36</v>
      </c>
      <c r="H28" s="83">
        <f>'[5]cashflow'!$H$68+'[5]cashflow'!$H$69</f>
        <v>-5928.567781528498</v>
      </c>
      <c r="J28" s="83">
        <f>-20162</f>
        <v>-20162</v>
      </c>
    </row>
    <row r="29" spans="8:10" ht="12.75">
      <c r="H29" s="99"/>
      <c r="J29" s="99"/>
    </row>
    <row r="30" spans="2:10" ht="12.75">
      <c r="B30" s="95" t="s">
        <v>226</v>
      </c>
      <c r="H30" s="83">
        <f>SUM(H24:H28)-1</f>
        <v>-30314.959673988862</v>
      </c>
      <c r="J30" s="83">
        <f>SUM(J24:J28)</f>
        <v>-228590</v>
      </c>
    </row>
    <row r="31" spans="8:10" ht="12.75">
      <c r="H31" s="83"/>
      <c r="J31" s="83"/>
    </row>
    <row r="32" spans="2:10" ht="12.75">
      <c r="B32" s="88" t="s">
        <v>33</v>
      </c>
      <c r="H32" s="83">
        <f>'[5]cashflow'!$H$75</f>
        <v>-9952.023211908996</v>
      </c>
      <c r="J32" s="83">
        <f>-J21</f>
        <v>-7523</v>
      </c>
    </row>
    <row r="33" spans="2:10" ht="12.75">
      <c r="B33" s="88" t="s">
        <v>34</v>
      </c>
      <c r="H33" s="83">
        <f>'[5]cashflow'!$H$74</f>
        <v>5710.459166930001</v>
      </c>
      <c r="J33" s="83">
        <f>-J22</f>
        <v>6679</v>
      </c>
    </row>
    <row r="34" spans="2:10" ht="12.75">
      <c r="B34" s="88" t="s">
        <v>132</v>
      </c>
      <c r="H34" s="83">
        <f>-'[5]prov tax &amp; def tax'!$H$10-'[5]prov tax &amp; def tax'!$H$26*0</f>
        <v>15</v>
      </c>
      <c r="J34" s="83">
        <f>50</f>
        <v>50</v>
      </c>
    </row>
    <row r="35" spans="2:10" ht="12.75">
      <c r="B35" s="96" t="s">
        <v>125</v>
      </c>
      <c r="H35" s="83">
        <f>'[5]cashflow'!$H$76-H34</f>
        <v>-2388.648874944</v>
      </c>
      <c r="J35" s="83">
        <f>-1087</f>
        <v>-1087</v>
      </c>
    </row>
    <row r="36" spans="8:10" ht="12.75">
      <c r="H36" s="99"/>
      <c r="J36" s="83"/>
    </row>
    <row r="37" spans="2:10" ht="12.75">
      <c r="B37" s="95" t="s">
        <v>227</v>
      </c>
      <c r="H37" s="100">
        <f>SUM(H30:H36)-1</f>
        <v>-36931.17259391186</v>
      </c>
      <c r="J37" s="100">
        <f>SUM(J30:J36)</f>
        <v>-230471</v>
      </c>
    </row>
    <row r="38" spans="2:10" ht="12.75">
      <c r="B38" s="191" t="s">
        <v>2</v>
      </c>
      <c r="H38" s="83"/>
      <c r="J38" s="83"/>
    </row>
    <row r="39" spans="1:10" ht="12.75">
      <c r="A39" s="101" t="s">
        <v>37</v>
      </c>
      <c r="H39" s="83"/>
      <c r="J39" s="83"/>
    </row>
    <row r="40" spans="1:10" ht="12.75">
      <c r="A40" s="101"/>
      <c r="B40" s="88" t="s">
        <v>216</v>
      </c>
      <c r="H40" s="83">
        <f>'[5]cashflow'!$H$82</f>
        <v>0</v>
      </c>
      <c r="J40" s="83">
        <f>-1400-3600</f>
        <v>-5000</v>
      </c>
    </row>
    <row r="41" spans="2:10" ht="12.75">
      <c r="B41" s="88" t="s">
        <v>38</v>
      </c>
      <c r="H41" s="83">
        <f>'[5]cashflow'!$H$84</f>
        <v>-2052.3597394</v>
      </c>
      <c r="J41" s="83">
        <f>-3616</f>
        <v>-3616</v>
      </c>
    </row>
    <row r="42" spans="2:10" ht="12.75">
      <c r="B42" s="88" t="s">
        <v>245</v>
      </c>
      <c r="H42" s="83">
        <f>'[5]cashflow'!$H$90</f>
        <v>-3218</v>
      </c>
      <c r="J42" s="83">
        <f>-1830</f>
        <v>-1830</v>
      </c>
    </row>
    <row r="43" spans="2:10" ht="12.75">
      <c r="B43" s="88" t="s">
        <v>255</v>
      </c>
      <c r="H43" s="83">
        <f>'[5]cashflow'!$H$97</f>
        <v>-6012.459999999999</v>
      </c>
      <c r="J43" s="83">
        <v>0</v>
      </c>
    </row>
    <row r="44" spans="2:10" ht="12.75">
      <c r="B44" s="102" t="s">
        <v>217</v>
      </c>
      <c r="H44" s="83">
        <f>'[5]cashflow'!$H$89</f>
        <v>-310</v>
      </c>
      <c r="J44" s="110">
        <f>-7000-5000</f>
        <v>-12000</v>
      </c>
    </row>
    <row r="45" spans="2:10" ht="12.75">
      <c r="B45" s="88" t="s">
        <v>228</v>
      </c>
      <c r="H45" s="83">
        <f>'[5]cashflow'!$H$96</f>
        <v>52249.54053175</v>
      </c>
      <c r="J45" s="83">
        <f>0</f>
        <v>0</v>
      </c>
    </row>
    <row r="46" spans="2:10" ht="12.75">
      <c r="B46" s="88" t="s">
        <v>39</v>
      </c>
      <c r="H46" s="83">
        <f>'[5]cashflow'!$H$85</f>
        <v>1763.9836309989957</v>
      </c>
      <c r="J46" s="83">
        <f>2100</f>
        <v>2100</v>
      </c>
    </row>
    <row r="47" spans="2:10" ht="12.75">
      <c r="B47" s="102" t="s">
        <v>131</v>
      </c>
      <c r="H47" s="83">
        <f>'[5]cashflow'!$H$92+'[5]cashflow'!$H$95+'[5]cashflow'!$H$89*0</f>
        <v>10651.15020734</v>
      </c>
      <c r="J47" s="83">
        <f>14463</f>
        <v>14463</v>
      </c>
    </row>
    <row r="48" spans="2:10" ht="12.75">
      <c r="B48" s="102" t="s">
        <v>170</v>
      </c>
      <c r="H48" s="83">
        <f>'[5]cashflow'!$H$91</f>
        <v>13184.939999999999</v>
      </c>
      <c r="J48" s="83">
        <f>1200</f>
        <v>1200</v>
      </c>
    </row>
    <row r="49" spans="2:10" ht="12.75">
      <c r="B49" s="96" t="s">
        <v>93</v>
      </c>
      <c r="H49" s="83">
        <v>0</v>
      </c>
      <c r="J49" s="83">
        <f>-3</f>
        <v>-3</v>
      </c>
    </row>
    <row r="50" spans="2:10" ht="12.75">
      <c r="B50" s="96" t="s">
        <v>41</v>
      </c>
      <c r="H50" s="83">
        <f>'[5]cashflow'!$H$98+'[5]cashflow'!$H$83</f>
        <v>6480.110963066</v>
      </c>
      <c r="J50" s="83">
        <f>5397</f>
        <v>5397</v>
      </c>
    </row>
    <row r="51" spans="2:10" ht="12.75">
      <c r="B51" s="102" t="s">
        <v>246</v>
      </c>
      <c r="H51" s="83">
        <v>0</v>
      </c>
      <c r="J51" s="83">
        <f>-55</f>
        <v>-55</v>
      </c>
    </row>
    <row r="52" spans="8:10" ht="12.75">
      <c r="H52" s="83"/>
      <c r="J52" s="83"/>
    </row>
    <row r="53" spans="2:10" ht="12.75">
      <c r="B53" s="95" t="s">
        <v>182</v>
      </c>
      <c r="H53" s="100">
        <f>SUM(H40:H52)+1</f>
        <v>72737.905593755</v>
      </c>
      <c r="J53" s="100">
        <f>SUM(J40:J52)</f>
        <v>656</v>
      </c>
    </row>
    <row r="54" spans="8:10" ht="12.75">
      <c r="H54" s="83"/>
      <c r="J54" s="83"/>
    </row>
    <row r="55" spans="1:10" ht="12.75">
      <c r="A55" s="101" t="s">
        <v>40</v>
      </c>
      <c r="H55" s="83"/>
      <c r="J55" s="83"/>
    </row>
    <row r="56" spans="1:10" ht="12.75">
      <c r="A56" s="101"/>
      <c r="B56" s="88" t="s">
        <v>183</v>
      </c>
      <c r="H56" s="83">
        <f>'[5]cashflow'!$H$111</f>
        <v>11252.897313060996</v>
      </c>
      <c r="J56" s="83">
        <f>-891</f>
        <v>-891</v>
      </c>
    </row>
    <row r="57" spans="1:10" ht="12.75">
      <c r="A57" s="101"/>
      <c r="B57" s="88" t="s">
        <v>161</v>
      </c>
      <c r="H57" s="83">
        <f>'[5]cashflow'!$H$112</f>
        <v>-3217.26291</v>
      </c>
      <c r="J57" s="83">
        <f>-1976</f>
        <v>-1976</v>
      </c>
    </row>
    <row r="58" spans="1:10" ht="12.75">
      <c r="A58" s="101"/>
      <c r="B58" s="88" t="s">
        <v>107</v>
      </c>
      <c r="H58" s="83">
        <f>'[5]cashflow'!$H$116</f>
        <v>-8850</v>
      </c>
      <c r="J58" s="83">
        <f>'S.Equity'!I48</f>
        <v>-2145</v>
      </c>
    </row>
    <row r="59" spans="1:10" ht="12.75">
      <c r="A59" s="101"/>
      <c r="B59" s="88" t="s">
        <v>251</v>
      </c>
      <c r="H59" s="83">
        <f>'[5]cashflow'!$H$117</f>
        <v>-6557.6021</v>
      </c>
      <c r="J59" s="83">
        <v>0</v>
      </c>
    </row>
    <row r="60" spans="1:12" ht="12.75">
      <c r="A60" s="101"/>
      <c r="B60" s="88" t="s">
        <v>109</v>
      </c>
      <c r="H60" s="83">
        <f>'[5]cashflow'!$H$114</f>
        <v>65640.98374422002</v>
      </c>
      <c r="J60" s="83">
        <f>265099</f>
        <v>265099</v>
      </c>
      <c r="L60" s="192"/>
    </row>
    <row r="61" spans="2:10" ht="12.75">
      <c r="B61" s="96" t="s">
        <v>99</v>
      </c>
      <c r="H61" s="83">
        <f>'[5]cashflow'!$H$115</f>
        <v>-132413.19462422002</v>
      </c>
      <c r="J61" s="83">
        <f>-144661</f>
        <v>-144661</v>
      </c>
    </row>
    <row r="62" spans="2:10" ht="12.75">
      <c r="B62" s="96" t="s">
        <v>102</v>
      </c>
      <c r="H62" s="83">
        <f>'[5]cashflow'!$H$113</f>
        <v>-5069.8173909</v>
      </c>
      <c r="J62" s="83">
        <f>-5057</f>
        <v>-5057</v>
      </c>
    </row>
    <row r="63" spans="8:10" ht="12.75">
      <c r="H63" s="83"/>
      <c r="J63" s="83"/>
    </row>
    <row r="64" spans="2:10" ht="12.75">
      <c r="B64" s="95" t="s">
        <v>186</v>
      </c>
      <c r="H64" s="100">
        <f>SUM(H56:H63)</f>
        <v>-79213.99596783902</v>
      </c>
      <c r="J64" s="100">
        <f>SUM(J56:J62)</f>
        <v>110369</v>
      </c>
    </row>
    <row r="65" spans="8:10" ht="12.75">
      <c r="H65" s="83"/>
      <c r="J65" s="83"/>
    </row>
    <row r="66" spans="1:12" ht="12.75">
      <c r="A66" s="95" t="s">
        <v>249</v>
      </c>
      <c r="H66" s="83">
        <f>H37+H53+H64</f>
        <v>-43407.26296799588</v>
      </c>
      <c r="J66" s="83">
        <f>J37+J53+J64</f>
        <v>-119446</v>
      </c>
      <c r="L66" s="193"/>
    </row>
    <row r="67" spans="8:12" ht="12.75">
      <c r="H67" s="83"/>
      <c r="J67" s="83"/>
      <c r="L67" s="193"/>
    </row>
    <row r="68" spans="1:12" ht="12.75">
      <c r="A68" s="95" t="s">
        <v>184</v>
      </c>
      <c r="H68" s="83">
        <f>113081</f>
        <v>113081</v>
      </c>
      <c r="J68" s="83">
        <f>183931</f>
        <v>183931</v>
      </c>
      <c r="L68" s="193"/>
    </row>
    <row r="69" spans="1:12" ht="12.75">
      <c r="A69" s="101"/>
      <c r="H69" s="83"/>
      <c r="J69" s="83"/>
      <c r="L69" s="193"/>
    </row>
    <row r="70" spans="1:12" ht="12.75">
      <c r="A70" s="101" t="s">
        <v>42</v>
      </c>
      <c r="H70" s="83">
        <f>'[5]cashflow'!$H$127-2</f>
        <v>-377.70182985550287</v>
      </c>
      <c r="J70" s="83">
        <f>49</f>
        <v>49</v>
      </c>
      <c r="L70" s="193"/>
    </row>
    <row r="71" spans="1:12" ht="12.75">
      <c r="A71" s="101"/>
      <c r="H71" s="83"/>
      <c r="J71" s="83"/>
      <c r="L71" s="193"/>
    </row>
    <row r="72" spans="1:12" ht="13.5" thickBot="1">
      <c r="A72" s="95" t="s">
        <v>185</v>
      </c>
      <c r="H72" s="97">
        <f>SUM(H66:H70)</f>
        <v>69296.03520214862</v>
      </c>
      <c r="J72" s="97">
        <f>SUM(J66:J70)</f>
        <v>64534</v>
      </c>
      <c r="L72" s="193"/>
    </row>
    <row r="73" spans="10:12" ht="12.75">
      <c r="J73" s="83"/>
      <c r="L73" s="193"/>
    </row>
    <row r="74" ht="12.75">
      <c r="J74" s="83"/>
    </row>
    <row r="75" spans="1:10" ht="12.75">
      <c r="A75" s="95" t="s">
        <v>43</v>
      </c>
      <c r="J75" s="83"/>
    </row>
    <row r="76" ht="12.75">
      <c r="J76" s="83"/>
    </row>
    <row r="77" spans="2:10" ht="12.75">
      <c r="B77" s="95" t="s">
        <v>100</v>
      </c>
      <c r="H77" s="83">
        <f>'[5]cashflow'!$H$136</f>
        <v>-14516.5506</v>
      </c>
      <c r="J77" s="83">
        <f>-46286</f>
        <v>-46286</v>
      </c>
    </row>
    <row r="78" spans="2:10" ht="12.75">
      <c r="B78" s="101" t="s">
        <v>13</v>
      </c>
      <c r="H78" s="83">
        <f>'[5]cashflow'!$H$134</f>
        <v>24622.512484524003</v>
      </c>
      <c r="J78" s="83">
        <f>31038</f>
        <v>31038</v>
      </c>
    </row>
    <row r="79" spans="2:10" ht="12.75">
      <c r="B79" s="101" t="s">
        <v>44</v>
      </c>
      <c r="H79" s="83">
        <f>'[5]cashflow'!$H$135</f>
        <v>59189.761113061046</v>
      </c>
      <c r="J79" s="83">
        <f>79782</f>
        <v>79782</v>
      </c>
    </row>
    <row r="80" spans="8:10" ht="12.75">
      <c r="H80" s="83"/>
      <c r="J80" s="83"/>
    </row>
    <row r="81" spans="8:13" ht="13.5" thickBot="1">
      <c r="H81" s="97">
        <f>SUM(H77:H79)</f>
        <v>69295.72299758505</v>
      </c>
      <c r="J81" s="97">
        <f>SUM(J77:J79)</f>
        <v>64534</v>
      </c>
      <c r="M81" s="147">
        <f>H72-H81</f>
        <v>0.3122045635682298</v>
      </c>
    </row>
    <row r="82" ht="12.75">
      <c r="H82" s="147"/>
    </row>
    <row r="83" ht="12.75">
      <c r="A83" s="95"/>
    </row>
    <row r="84" spans="1:12" ht="12.75">
      <c r="A84" s="237" t="s">
        <v>200</v>
      </c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</row>
    <row r="85" spans="1:12" ht="12.75">
      <c r="A85" s="237" t="s">
        <v>201</v>
      </c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</row>
    <row r="86" spans="1:12" ht="12.75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</row>
  </sheetData>
  <mergeCells count="6">
    <mergeCell ref="A86:L86"/>
    <mergeCell ref="A84:L84"/>
    <mergeCell ref="A85:L85"/>
    <mergeCell ref="A1:K1"/>
    <mergeCell ref="A2:K2"/>
    <mergeCell ref="A3:K3"/>
  </mergeCells>
  <printOptions/>
  <pageMargins left="0.8" right="0.24" top="0.33" bottom="0" header="0.24" footer="0.16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Insas Berhad</cp:lastModifiedBy>
  <cp:lastPrinted>2013-05-28T08:28:47Z</cp:lastPrinted>
  <dcterms:created xsi:type="dcterms:W3CDTF">2000-02-14T08:00:04Z</dcterms:created>
  <dcterms:modified xsi:type="dcterms:W3CDTF">2013-05-28T08:29:13Z</dcterms:modified>
  <cp:category/>
  <cp:version/>
  <cp:contentType/>
  <cp:contentStatus/>
</cp:coreProperties>
</file>